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766" activeTab="4"/>
  </bookViews>
  <sheets>
    <sheet name="P&amp;L BS CF" sheetId="1" r:id="rId1"/>
    <sheet name=" Results by division" sheetId="2" r:id="rId2"/>
    <sheet name="Volumes " sheetId="3" r:id="rId3"/>
    <sheet name="Costs" sheetId="4" r:id="rId4"/>
    <sheet name="Quarterly Data" sheetId="5" r:id="rId5"/>
    <sheet name="Thermoelectric plants" sheetId="6" r:id="rId6"/>
    <sheet name="Hydroelectric plants" sheetId="7" r:id="rId7"/>
    <sheet name="Other renewable plants" sheetId="8" r:id="rId8"/>
    <sheet name="Energy efficiency in Italy" sheetId="9" r:id="rId9"/>
    <sheet name="Plants summary" sheetId="10" r:id="rId10"/>
  </sheets>
  <definedNames>
    <definedName name="_xlnm.Print_Area" localSheetId="1">' Results by division'!$B$1:$K$64</definedName>
    <definedName name="_xlnm.Print_Area" localSheetId="3">'Costs'!$B$2:$K$42</definedName>
    <definedName name="_xlnm.Print_Area" localSheetId="0">'P&amp;L BS CF'!$A$1:$AB$101</definedName>
    <definedName name="_xlnm.Print_Area" localSheetId="4">'Quarterly Data'!$A$1:$AQ$138</definedName>
    <definedName name="_xlnm.Print_Area" localSheetId="2">'Volumes '!$B$2:$L$71</definedName>
    <definedName name="_xlnm.Print_Titles" localSheetId="4">'Quarterly Data'!$B:$B</definedName>
  </definedNames>
  <calcPr fullCalcOnLoad="1"/>
</workbook>
</file>

<file path=xl/sharedStrings.xml><?xml version="1.0" encoding="utf-8"?>
<sst xmlns="http://schemas.openxmlformats.org/spreadsheetml/2006/main" count="1971" uniqueCount="712">
  <si>
    <t>balance</t>
  </si>
  <si>
    <t>EBITDA</t>
  </si>
  <si>
    <t>Candela</t>
  </si>
  <si>
    <t>Porto Viro</t>
  </si>
  <si>
    <t>Plant name</t>
  </si>
  <si>
    <t>Start up</t>
  </si>
  <si>
    <t>Marghera Azotati</t>
  </si>
  <si>
    <t>Bussi sul Tirino</t>
  </si>
  <si>
    <t>San Quirico</t>
  </si>
  <si>
    <t>Cologno Monzese</t>
  </si>
  <si>
    <t>Jesi</t>
  </si>
  <si>
    <t>Battiggio</t>
  </si>
  <si>
    <t>Pieve Vergonte</t>
  </si>
  <si>
    <t>Pentima</t>
  </si>
  <si>
    <t>Celle San Vito 1</t>
  </si>
  <si>
    <t>Foiano - Piano del Casino</t>
  </si>
  <si>
    <t>Celle San Vito 2</t>
  </si>
  <si>
    <t>CASH FLOW</t>
  </si>
  <si>
    <t>Market</t>
  </si>
  <si>
    <t>Type</t>
  </si>
  <si>
    <t>Basin</t>
  </si>
  <si>
    <t>Run of river</t>
  </si>
  <si>
    <t>Caffaro 1</t>
  </si>
  <si>
    <t>free market</t>
  </si>
  <si>
    <t>Reservoir</t>
  </si>
  <si>
    <t>Venina</t>
  </si>
  <si>
    <t>Sonico</t>
  </si>
  <si>
    <t>Mezzocorona</t>
  </si>
  <si>
    <t>Armisa</t>
  </si>
  <si>
    <t>Zappello</t>
  </si>
  <si>
    <t>Vedello</t>
  </si>
  <si>
    <t>Teglia</t>
  </si>
  <si>
    <t>Campo</t>
  </si>
  <si>
    <t>Cividate</t>
  </si>
  <si>
    <t>Rocchetta</t>
  </si>
  <si>
    <t>Belviso</t>
  </si>
  <si>
    <t>Publino</t>
  </si>
  <si>
    <t>Ganda</t>
  </si>
  <si>
    <t>Caffaro 2</t>
  </si>
  <si>
    <t>Albano</t>
  </si>
  <si>
    <t>Total free market (MW)</t>
  </si>
  <si>
    <t>check</t>
  </si>
  <si>
    <t>Location</t>
  </si>
  <si>
    <t>Company</t>
  </si>
  <si>
    <t>Fuel</t>
  </si>
  <si>
    <t>Technology</t>
  </si>
  <si>
    <t>VE</t>
  </si>
  <si>
    <t>Edison Spa</t>
  </si>
  <si>
    <t>gas</t>
  </si>
  <si>
    <t>CCGT</t>
  </si>
  <si>
    <t>RO</t>
  </si>
  <si>
    <t>MI</t>
  </si>
  <si>
    <t>PE</t>
  </si>
  <si>
    <t>PR</t>
  </si>
  <si>
    <t>TR</t>
  </si>
  <si>
    <t>Termica Cologno Srl</t>
  </si>
  <si>
    <t>MS</t>
  </si>
  <si>
    <t>AN</t>
  </si>
  <si>
    <t>Jesi Energia Spa</t>
  </si>
  <si>
    <t>Terni</t>
  </si>
  <si>
    <t>CN</t>
  </si>
  <si>
    <t>FG</t>
  </si>
  <si>
    <t>Volturino</t>
  </si>
  <si>
    <t>Sales revenues Electric Power operations</t>
  </si>
  <si>
    <t>Sales revenues Hydrocarbons operations</t>
  </si>
  <si>
    <t>Corporate activities</t>
  </si>
  <si>
    <t>Eliminations</t>
  </si>
  <si>
    <t>Total sales revenues</t>
  </si>
  <si>
    <t>Other revenues and income</t>
  </si>
  <si>
    <t>Total net revenues</t>
  </si>
  <si>
    <t>Raw materials and services used</t>
  </si>
  <si>
    <t>Labor cost</t>
  </si>
  <si>
    <t>EBITDA Corporate activities</t>
  </si>
  <si>
    <t>Employees</t>
  </si>
  <si>
    <t>Net financial income / expense</t>
  </si>
  <si>
    <t>Income from / expense on equity investments</t>
  </si>
  <si>
    <t>Income taxes</t>
  </si>
  <si>
    <t xml:space="preserve">Profit / Loss </t>
  </si>
  <si>
    <t xml:space="preserve">of which: </t>
  </si>
  <si>
    <t>Group interest in profit / loss</t>
  </si>
  <si>
    <t>BALANCE SHEET AT DECEMBER 31ST</t>
  </si>
  <si>
    <t>Property, plant and equipment</t>
  </si>
  <si>
    <t>Operating working capital</t>
  </si>
  <si>
    <t>Reserve for employee severance indemnities</t>
  </si>
  <si>
    <t>Net invested capital</t>
  </si>
  <si>
    <t>Group interest in stockholders' equity</t>
  </si>
  <si>
    <t>Stockholders' equity</t>
  </si>
  <si>
    <t>Net borrowings</t>
  </si>
  <si>
    <t>Dividends received</t>
  </si>
  <si>
    <t>Other revenues</t>
  </si>
  <si>
    <t>Total assets</t>
  </si>
  <si>
    <t>Capital expenditures</t>
  </si>
  <si>
    <t>Investments in intangibles</t>
  </si>
  <si>
    <t xml:space="preserve">Sales revenues </t>
  </si>
  <si>
    <t>Electric power</t>
  </si>
  <si>
    <t>Green certificates</t>
  </si>
  <si>
    <t>Other materials, utilities and demineralised industrial water</t>
  </si>
  <si>
    <t>SOURCES (GWh)</t>
  </si>
  <si>
    <t>USES (GWh)</t>
  </si>
  <si>
    <t>Net production Edison</t>
  </si>
  <si>
    <t>Production in Italy</t>
  </si>
  <si>
    <t>Residential use</t>
  </si>
  <si>
    <t>Industrial use</t>
  </si>
  <si>
    <t>Thermoelectric fuel use</t>
  </si>
  <si>
    <t>Other sales</t>
  </si>
  <si>
    <t>RAW MATERIALS AND SERVICES USED</t>
  </si>
  <si>
    <t>Sundry charges</t>
  </si>
  <si>
    <t>Total raw materials and services used</t>
  </si>
  <si>
    <t>Coal</t>
  </si>
  <si>
    <t>Thermoelectric</t>
  </si>
  <si>
    <t>Hydroelectric</t>
  </si>
  <si>
    <t>Other assets, liabilities and reserves for risks and charges</t>
  </si>
  <si>
    <t>Minority interests in stockholders' equity</t>
  </si>
  <si>
    <t xml:space="preserve">EDISON CONSOLIDATED RESULTS IAS/ IFRs COMPLIANT </t>
  </si>
  <si>
    <t>Electric Power</t>
  </si>
  <si>
    <t>Hydrocarbons</t>
  </si>
  <si>
    <t>Corporate</t>
  </si>
  <si>
    <t>Adjustments</t>
  </si>
  <si>
    <t>Raw Materials and Services</t>
  </si>
  <si>
    <t>Total EBIT</t>
  </si>
  <si>
    <t>Net Financial Income (Expense)</t>
  </si>
  <si>
    <t>Income from (expense on) equity investments</t>
  </si>
  <si>
    <t>Other Net Income (Expense)</t>
  </si>
  <si>
    <t>Profit Before Taxes</t>
  </si>
  <si>
    <t>Income Taxes</t>
  </si>
  <si>
    <t xml:space="preserve">Minority' s Interest in net (Income) loss </t>
  </si>
  <si>
    <t>Group Interest in Net income</t>
  </si>
  <si>
    <t>Net Invested Capital</t>
  </si>
  <si>
    <t>Stockholders' Equity</t>
  </si>
  <si>
    <t xml:space="preserve">     of which Group's Interest</t>
  </si>
  <si>
    <t>Net Borrowings</t>
  </si>
  <si>
    <t>Capital Expenditures</t>
  </si>
  <si>
    <t>Sources</t>
  </si>
  <si>
    <t>Other purchases and swaps</t>
  </si>
  <si>
    <t>Uses</t>
  </si>
  <si>
    <t>Total Uses</t>
  </si>
  <si>
    <t>Other Sales</t>
  </si>
  <si>
    <t>Debt /Equity</t>
  </si>
  <si>
    <t>CS</t>
  </si>
  <si>
    <t>UD</t>
  </si>
  <si>
    <t>Profit (loss) from discontinued operations</t>
  </si>
  <si>
    <t xml:space="preserve">Emission Rights </t>
  </si>
  <si>
    <t>Paderno - Bertini</t>
  </si>
  <si>
    <t>Robbiate - Esterle</t>
  </si>
  <si>
    <t>Meduno</t>
  </si>
  <si>
    <t>Total Sales Revenues</t>
  </si>
  <si>
    <t xml:space="preserve">Total Net Revenues </t>
  </si>
  <si>
    <t>Profit (loss) from discontinued operation</t>
  </si>
  <si>
    <t>Other income / expense</t>
  </si>
  <si>
    <t>Profit before taxes</t>
  </si>
  <si>
    <t xml:space="preserve">Profit / Loss from continuing operations </t>
  </si>
  <si>
    <t xml:space="preserve">Net Result </t>
  </si>
  <si>
    <t>Net Result from Continuing Operations</t>
  </si>
  <si>
    <t xml:space="preserve">Capital Expenditures </t>
  </si>
  <si>
    <t xml:space="preserve">Sales Revenues </t>
  </si>
  <si>
    <t>Simeri Crichi</t>
  </si>
  <si>
    <t>CZ</t>
  </si>
  <si>
    <t>Cedegolo</t>
  </si>
  <si>
    <t>Istrago</t>
  </si>
  <si>
    <t>Fontanamora</t>
  </si>
  <si>
    <t>Gaver</t>
  </si>
  <si>
    <t>Valina</t>
  </si>
  <si>
    <t>Chievolis</t>
  </si>
  <si>
    <t>Colle</t>
  </si>
  <si>
    <t>Pozzolago - Lona Lases</t>
  </si>
  <si>
    <t xml:space="preserve">Capital Expenditures and Exploration </t>
  </si>
  <si>
    <t>Transmission of electric power and gas</t>
  </si>
  <si>
    <t>Mollaro</t>
  </si>
  <si>
    <t>Lucito</t>
  </si>
  <si>
    <t>Altomonte</t>
  </si>
  <si>
    <t>Labour Costs</t>
  </si>
  <si>
    <t>Minority interest in (profit) / loss</t>
  </si>
  <si>
    <t>Total Oil Production</t>
  </si>
  <si>
    <t>OIL PRODUCTION (kbbl)</t>
  </si>
  <si>
    <t>Biomass</t>
  </si>
  <si>
    <t>Wind and other renewables</t>
  </si>
  <si>
    <t xml:space="preserve">Marghera Levante </t>
  </si>
  <si>
    <t>Torviscosa</t>
  </si>
  <si>
    <t>Elpedison</t>
  </si>
  <si>
    <t>TN</t>
  </si>
  <si>
    <t>Dolomiti Edison Energy Srl</t>
  </si>
  <si>
    <t>BS</t>
  </si>
  <si>
    <t>SO</t>
  </si>
  <si>
    <t>CO</t>
  </si>
  <si>
    <t>Calusco - Semenza</t>
  </si>
  <si>
    <t>BG</t>
  </si>
  <si>
    <t>VB</t>
  </si>
  <si>
    <t>Run of river - mini hydro</t>
  </si>
  <si>
    <t>Piozzo - Farigliano</t>
  </si>
  <si>
    <t>Basin - mini hydro</t>
  </si>
  <si>
    <t>PN</t>
  </si>
  <si>
    <t>Sistemi di Energia Spa</t>
  </si>
  <si>
    <t>Switzerland</t>
  </si>
  <si>
    <t>Kraftwerke</t>
  </si>
  <si>
    <t>Ripabottoni</t>
  </si>
  <si>
    <t>Sella di Conza</t>
  </si>
  <si>
    <t>Photovoltaic Altomonte</t>
  </si>
  <si>
    <t>P &amp; L</t>
  </si>
  <si>
    <t>GAS SOURCES (mln cm)</t>
  </si>
  <si>
    <t>GAS USES (mln cm)</t>
  </si>
  <si>
    <t>ELECTRIC POWER OPERATIONS</t>
  </si>
  <si>
    <t>HYDROCARBONS OPERATIONS</t>
  </si>
  <si>
    <t>VOLUMES</t>
  </si>
  <si>
    <t xml:space="preserve"> ELECTRIC POWER</t>
  </si>
  <si>
    <t>HYDROCARBONS</t>
  </si>
  <si>
    <t>COSTS</t>
  </si>
  <si>
    <r>
      <t xml:space="preserve">P&amp;L </t>
    </r>
    <r>
      <rPr>
        <u val="single"/>
        <sz val="10"/>
        <rFont val="Arial"/>
        <family val="2"/>
      </rPr>
      <t>(€ mln)</t>
    </r>
  </si>
  <si>
    <r>
      <t xml:space="preserve">BALANCE SHEET </t>
    </r>
    <r>
      <rPr>
        <u val="single"/>
        <sz val="10"/>
        <rFont val="Arial"/>
        <family val="2"/>
      </rPr>
      <t>(€ mln)</t>
    </r>
  </si>
  <si>
    <r>
      <t>ELECTRIC POWER OPERATIONS</t>
    </r>
    <r>
      <rPr>
        <u val="single"/>
        <sz val="10"/>
        <rFont val="Arial"/>
        <family val="2"/>
      </rPr>
      <t xml:space="preserve"> (€ mln)</t>
    </r>
  </si>
  <si>
    <r>
      <t xml:space="preserve">HYDROCARBONS OPERATIONS </t>
    </r>
    <r>
      <rPr>
        <u val="single"/>
        <sz val="10"/>
        <rFont val="Arial"/>
        <family val="2"/>
      </rPr>
      <t>(€ mln)</t>
    </r>
  </si>
  <si>
    <r>
      <t>ELECTRIC POWER VOLUMES</t>
    </r>
    <r>
      <rPr>
        <u val="single"/>
        <sz val="10"/>
        <rFont val="Arial"/>
        <family val="2"/>
      </rPr>
      <t xml:space="preserve"> (GWh)</t>
    </r>
  </si>
  <si>
    <r>
      <t xml:space="preserve">HYDROCARBONS VOLUMES </t>
    </r>
    <r>
      <rPr>
        <u val="single"/>
        <sz val="10"/>
        <rFont val="Arial"/>
        <family val="2"/>
      </rPr>
      <t>(bcm)</t>
    </r>
  </si>
  <si>
    <t>Mistretta</t>
  </si>
  <si>
    <t>Thisvi</t>
  </si>
  <si>
    <t>Greece</t>
  </si>
  <si>
    <t>Regassification fee</t>
  </si>
  <si>
    <t>LO</t>
  </si>
  <si>
    <t>P1: proved reserves</t>
  </si>
  <si>
    <t>P2: probable reserves</t>
  </si>
  <si>
    <t>Import Pipe + GNL</t>
  </si>
  <si>
    <t>IQ 2013</t>
  </si>
  <si>
    <t>IIQ 2013</t>
  </si>
  <si>
    <t>IH 2013</t>
  </si>
  <si>
    <t>III Q 2013</t>
  </si>
  <si>
    <t>9M 2013</t>
  </si>
  <si>
    <t>IV Q 2013</t>
  </si>
  <si>
    <t>FY 2013</t>
  </si>
  <si>
    <t>Photovoltaic Piedimonte</t>
  </si>
  <si>
    <t>Photovoltaic Oviglio</t>
  </si>
  <si>
    <t>Photovoltaic Cascine Bianche</t>
  </si>
  <si>
    <t>Photovoltaic Termoli</t>
  </si>
  <si>
    <t>Photovoltaic Mediglia</t>
  </si>
  <si>
    <t>Photovoltaic Latina</t>
  </si>
  <si>
    <t>Photovoltaic Monza</t>
  </si>
  <si>
    <t>IQ 2014</t>
  </si>
  <si>
    <t>IIQ 2014</t>
  </si>
  <si>
    <t>IH 2014</t>
  </si>
  <si>
    <t>III Q 2014</t>
  </si>
  <si>
    <t>9M 2014</t>
  </si>
  <si>
    <t>IV Q 2014</t>
  </si>
  <si>
    <t>FY 2014</t>
  </si>
  <si>
    <t>Restated</t>
  </si>
  <si>
    <t>Cancellation of non monetary items included in EBITDA</t>
  </si>
  <si>
    <t>Change in non operating working capital</t>
  </si>
  <si>
    <t>Other items</t>
  </si>
  <si>
    <t>T-Power (Tessaloniki)</t>
  </si>
  <si>
    <t>Ibiritermo</t>
  </si>
  <si>
    <t>Brazil</t>
  </si>
  <si>
    <t>E2I Energie Speciali Srl</t>
  </si>
  <si>
    <t>Andretta - Bisaccia</t>
  </si>
  <si>
    <t>Baselice</t>
  </si>
  <si>
    <t>Edison Energy Solutions Spa</t>
  </si>
  <si>
    <t xml:space="preserve">(*) In accordance with IFRS 11 “Joint arrangements” from January 2014 some companies were deconsolidated line by line and valued by equity method.
</t>
  </si>
  <si>
    <t>Total thermoelectric plants Edison (MW)</t>
  </si>
  <si>
    <t>Thermoelectric Plants - Deconsolidated (out of Edison perimeter)(*)</t>
  </si>
  <si>
    <t>Total foreign deconsolidated capacity (MW)</t>
  </si>
  <si>
    <t>Roccaspinalveti</t>
  </si>
  <si>
    <t>Total  Edison wind farms (MW)</t>
  </si>
  <si>
    <t>Net financial expenses paid</t>
  </si>
  <si>
    <t>Net income taxes paid</t>
  </si>
  <si>
    <t>Change in other operating assets and liabilities</t>
  </si>
  <si>
    <t>Cash flow from operating activities</t>
  </si>
  <si>
    <t>Change in operating working capital</t>
  </si>
  <si>
    <t>Net investments</t>
  </si>
  <si>
    <t>Cash flow after net investments and change in working capital</t>
  </si>
  <si>
    <t>Dividends paid</t>
  </si>
  <si>
    <t>Net cash flow for the period</t>
  </si>
  <si>
    <t>Net financial debt at end of the period</t>
  </si>
  <si>
    <t>IQ 2015</t>
  </si>
  <si>
    <t>IIQ 2015</t>
  </si>
  <si>
    <t>IH 2015</t>
  </si>
  <si>
    <t>III Q 2015</t>
  </si>
  <si>
    <t>9M 2015</t>
  </si>
  <si>
    <t>IV Q 2015</t>
  </si>
  <si>
    <t>FY 2015</t>
  </si>
  <si>
    <t>Net change in fair value of commodity derivatives</t>
  </si>
  <si>
    <t>Other income (expense), net</t>
  </si>
  <si>
    <t>Maleo</t>
  </si>
  <si>
    <t>Foiano -Toppo Grosso - M.te Barbato</t>
  </si>
  <si>
    <t>IQ 2016</t>
  </si>
  <si>
    <t>IIQ 2016</t>
  </si>
  <si>
    <t>IH 2016</t>
  </si>
  <si>
    <t>III Q 2016</t>
  </si>
  <si>
    <t>9M 2016</t>
  </si>
  <si>
    <t>IV Q 2016</t>
  </si>
  <si>
    <t>Net installed capacity 
MW</t>
  </si>
  <si>
    <t>Edison %</t>
  </si>
  <si>
    <t>Edison stake in net installed capacity
MW</t>
  </si>
  <si>
    <t>Consolidation method</t>
  </si>
  <si>
    <t xml:space="preserve"> line by line</t>
  </si>
  <si>
    <t>CCGT/LMS100</t>
  </si>
  <si>
    <t xml:space="preserve">Greece </t>
  </si>
  <si>
    <t>Equity method</t>
  </si>
  <si>
    <t xml:space="preserve">Edison % </t>
  </si>
  <si>
    <t>S. Giustina</t>
  </si>
  <si>
    <t>line by line</t>
  </si>
  <si>
    <t>Taio</t>
  </si>
  <si>
    <t>Cogno</t>
  </si>
  <si>
    <t>La Rocca</t>
  </si>
  <si>
    <t>Piancone</t>
  </si>
  <si>
    <t>BI</t>
  </si>
  <si>
    <t>Alto Preit</t>
  </si>
  <si>
    <t>CU</t>
  </si>
  <si>
    <t>Boschetto</t>
  </si>
  <si>
    <t>Verbano-Cusio-Ossola</t>
  </si>
  <si>
    <t>Dora II</t>
  </si>
  <si>
    <t>TO</t>
  </si>
  <si>
    <t>Gaggiolo</t>
  </si>
  <si>
    <t>Molino II</t>
  </si>
  <si>
    <t>Montalto</t>
  </si>
  <si>
    <t>Montescheno</t>
  </si>
  <si>
    <t>San Floreano</t>
  </si>
  <si>
    <t>Barcis</t>
  </si>
  <si>
    <t>Cellina Energy</t>
  </si>
  <si>
    <t>Cordenons</t>
  </si>
  <si>
    <t>Ponte Giulio</t>
  </si>
  <si>
    <t>San Foca</t>
  </si>
  <si>
    <t>San Leonardo</t>
  </si>
  <si>
    <t>Villa Rinaldi</t>
  </si>
  <si>
    <t>Arta</t>
  </si>
  <si>
    <t>Campagnola</t>
  </si>
  <si>
    <t>Campolessi</t>
  </si>
  <si>
    <t>Cisterna</t>
  </si>
  <si>
    <t>Fogliano</t>
  </si>
  <si>
    <t>GO</t>
  </si>
  <si>
    <t>Luincis</t>
  </si>
  <si>
    <t>Maseris</t>
  </si>
  <si>
    <t>Monfalcone Anconetta</t>
  </si>
  <si>
    <t>Monfalcone Porto</t>
  </si>
  <si>
    <t>Mulinaris</t>
  </si>
  <si>
    <t>Pineda</t>
  </si>
  <si>
    <t>Redipuglia</t>
  </si>
  <si>
    <t>Rodeano</t>
  </si>
  <si>
    <t>Ronchi</t>
  </si>
  <si>
    <t>Savorgnana</t>
  </si>
  <si>
    <t>Tramba</t>
  </si>
  <si>
    <t>Zoppola</t>
  </si>
  <si>
    <t>equity method</t>
  </si>
  <si>
    <t>Nominal capacity
MW</t>
  </si>
  <si>
    <t>Edison stake in nominal capacity 
MW</t>
  </si>
  <si>
    <t>Photovoltaic and biomass</t>
  </si>
  <si>
    <t>Total photovoltaic and biomass (MW)</t>
  </si>
  <si>
    <t>TOTAL OTHER RENEWABLES</t>
  </si>
  <si>
    <t>Installed capacity (MW)</t>
  </si>
  <si>
    <t>nr</t>
  </si>
  <si>
    <t>Wind</t>
  </si>
  <si>
    <t>Photovoltaic</t>
  </si>
  <si>
    <t>Total</t>
  </si>
  <si>
    <t xml:space="preserve">      Gas activities</t>
  </si>
  <si>
    <t>EBITDA Corporate and adjustments</t>
  </si>
  <si>
    <t xml:space="preserve">        Gas activities</t>
  </si>
  <si>
    <t xml:space="preserve">Reported EBIT </t>
  </si>
  <si>
    <t>Total Sources</t>
  </si>
  <si>
    <t>Other purchases</t>
  </si>
  <si>
    <t>Change in stored gas inventory</t>
  </si>
  <si>
    <t>FY 2016 (1)</t>
  </si>
  <si>
    <t>(1) FY2016 figures include the full consolidation of Fenice from April 1, the swap of Edison participations in Hydros and Sel Edison with 100%  of Cellina Energy, fully consolidated from June 1, the acquisition of Idreg Piemonte assets on May 25, the sale of Termica Milazzo on Aug. 1 and the  sale of Fenice Russia in September</t>
  </si>
  <si>
    <t>Adjusted EBITDA (2)</t>
  </si>
  <si>
    <t>2013 Restated</t>
  </si>
  <si>
    <t>2014 Restated</t>
  </si>
  <si>
    <t>2016 (1)</t>
  </si>
  <si>
    <t xml:space="preserve">Goodwill </t>
  </si>
  <si>
    <t>Intangibles</t>
  </si>
  <si>
    <t xml:space="preserve">Financial fixed assets </t>
  </si>
  <si>
    <t xml:space="preserve">Depreciation and Amortization </t>
  </si>
  <si>
    <t>Writedowns</t>
  </si>
  <si>
    <t xml:space="preserve">Depreciation and Amortization  </t>
  </si>
  <si>
    <t xml:space="preserve">IH 2016 </t>
  </si>
  <si>
    <t>Writedowns of trade and other receivables</t>
  </si>
  <si>
    <t>Realized Commodity derivatives</t>
  </si>
  <si>
    <t>Change in inventories</t>
  </si>
  <si>
    <t>Use of property not owned</t>
  </si>
  <si>
    <t>Maintenance</t>
  </si>
  <si>
    <t>Professional services</t>
  </si>
  <si>
    <t>Additions to provisions for miscellaneous</t>
  </si>
  <si>
    <t>Other fuel costs</t>
  </si>
  <si>
    <t>Natural Gas</t>
  </si>
  <si>
    <t>Margin on financial trading activities</t>
  </si>
  <si>
    <t>Losses on sale of property, plant and equipment</t>
  </si>
  <si>
    <t xml:space="preserve">Thermoelectric </t>
  </si>
  <si>
    <t xml:space="preserve">Hydroelectric </t>
  </si>
  <si>
    <t>Wind and other Renewables</t>
  </si>
  <si>
    <t>End customers</t>
  </si>
  <si>
    <r>
      <t>Other purchases (wholesalers, IPEX, etc.)</t>
    </r>
    <r>
      <rPr>
        <vertAlign val="superscript"/>
        <sz val="10"/>
        <rFont val="Arial"/>
        <family val="2"/>
      </rPr>
      <t xml:space="preserve"> (1)</t>
    </r>
  </si>
  <si>
    <r>
      <t xml:space="preserve">Production outside Italy </t>
    </r>
    <r>
      <rPr>
        <sz val="8"/>
        <rFont val="Arial"/>
        <family val="2"/>
      </rPr>
      <t>(including volumes withheld as production tax)</t>
    </r>
  </si>
  <si>
    <r>
      <t xml:space="preserve">Production in Italy </t>
    </r>
    <r>
      <rPr>
        <vertAlign val="superscript"/>
        <sz val="10"/>
        <rFont val="Arial"/>
        <family val="2"/>
      </rPr>
      <t>(1)</t>
    </r>
  </si>
  <si>
    <t>Sales outside Italy</t>
  </si>
  <si>
    <t xml:space="preserve">Other purchases </t>
  </si>
  <si>
    <t>Production outside Italy</t>
  </si>
  <si>
    <t xml:space="preserve">Depreciation and  Amortization </t>
  </si>
  <si>
    <t xml:space="preserve">Total EBIT </t>
  </si>
  <si>
    <t>Net financial debt at beginning of period</t>
  </si>
  <si>
    <t>RESERVES P1 + 50% P2 (bln cm equivalent)</t>
  </si>
  <si>
    <t>Gas production outside Italy</t>
  </si>
  <si>
    <t>RID</t>
  </si>
  <si>
    <t>Region</t>
  </si>
  <si>
    <t>Wind Power Plants</t>
  </si>
  <si>
    <t>Campania</t>
  </si>
  <si>
    <t>Casone Romano - Castelnuovo Daunia</t>
  </si>
  <si>
    <t>Puglia</t>
  </si>
  <si>
    <t>Abruzzo</t>
  </si>
  <si>
    <t>Castiglione Messer Marino - Ampliamento</t>
  </si>
  <si>
    <t>Faeto San Vito Ciuccia</t>
  </si>
  <si>
    <t>Faeto ampliamento</t>
  </si>
  <si>
    <t>Foiano Ampliamento</t>
  </si>
  <si>
    <t>Fraine</t>
  </si>
  <si>
    <t>Molise</t>
  </si>
  <si>
    <t>Melissa PESF</t>
  </si>
  <si>
    <t>Calabria</t>
  </si>
  <si>
    <t>Melissa Strongoli</t>
  </si>
  <si>
    <t>Sicilia</t>
  </si>
  <si>
    <t>Montazzoli</t>
  </si>
  <si>
    <t>Monteferrante</t>
  </si>
  <si>
    <t>Montemignaio</t>
  </si>
  <si>
    <t>Toscana</t>
  </si>
  <si>
    <t>Orsara di Puglia</t>
  </si>
  <si>
    <t>Rignano Garganico</t>
  </si>
  <si>
    <t>Rocchetta S.Antonio</t>
  </si>
  <si>
    <t>Rojo del Sangro</t>
  </si>
  <si>
    <t>San benedetto Val di Sambro</t>
  </si>
  <si>
    <t>Emilia Romagna</t>
  </si>
  <si>
    <t>San Giorgio la Molara Polero</t>
  </si>
  <si>
    <t>Basilicata</t>
  </si>
  <si>
    <t>Volturara Motta Montecorvino</t>
  </si>
  <si>
    <t>Lazio</t>
  </si>
  <si>
    <t>Piemonte</t>
  </si>
  <si>
    <t>Veneto</t>
  </si>
  <si>
    <t>THERMOELECTRIC</t>
  </si>
  <si>
    <t xml:space="preserve">HAUPT PHARMA </t>
  </si>
  <si>
    <t>Borgo San Michele di Latina (LT)</t>
  </si>
  <si>
    <t xml:space="preserve">industrial </t>
  </si>
  <si>
    <t>Gas engine</t>
  </si>
  <si>
    <t>CIER</t>
  </si>
  <si>
    <t>Castellalto Vomano (TE)</t>
  </si>
  <si>
    <t>PLASTOTECNICA</t>
  </si>
  <si>
    <t>Bagnoli di Sopra (PD)</t>
  </si>
  <si>
    <t>Albizzate</t>
  </si>
  <si>
    <t>North Italy</t>
  </si>
  <si>
    <t>Fenice</t>
  </si>
  <si>
    <t>Cogeneration</t>
  </si>
  <si>
    <t>Atessa Sevel</t>
  </si>
  <si>
    <t>South Italy</t>
  </si>
  <si>
    <t>Trigeneration</t>
  </si>
  <si>
    <t>Barge</t>
  </si>
  <si>
    <t>Brescia</t>
  </si>
  <si>
    <t>Caserta - Marcianise</t>
  </si>
  <si>
    <t>Ergom -Melfi</t>
  </si>
  <si>
    <t>Gelco</t>
  </si>
  <si>
    <t>Melfi (Rendina Ambiente S.r.l)</t>
  </si>
  <si>
    <t>Southern Italy</t>
  </si>
  <si>
    <t>waste from industry and public administration</t>
  </si>
  <si>
    <t>Furnace</t>
  </si>
  <si>
    <t>industrial</t>
  </si>
  <si>
    <t>Parma</t>
  </si>
  <si>
    <t>Sata</t>
  </si>
  <si>
    <t>Scarlino</t>
  </si>
  <si>
    <t>Stura</t>
  </si>
  <si>
    <t>La Mandria</t>
  </si>
  <si>
    <t>Northern Italy</t>
  </si>
  <si>
    <t>Electricity grid</t>
  </si>
  <si>
    <t>canal</t>
  </si>
  <si>
    <t>OTHER RENEWABLES</t>
  </si>
  <si>
    <t xml:space="preserve">Photovoltaic </t>
  </si>
  <si>
    <t>Mediglia (MI)</t>
  </si>
  <si>
    <t>Latina (LT)</t>
  </si>
  <si>
    <t>Monza (MB)</t>
  </si>
  <si>
    <t>Total photovoltaic (MW)</t>
  </si>
  <si>
    <t>Thermoelectric (Greece + Brazil)</t>
  </si>
  <si>
    <t>EDISON CONSOLIDATED ANNUAL PROFIT AND LOSS, BALANCE SHEET AND CASH FLOW STATEMENT</t>
  </si>
  <si>
    <t>Adjusted EBITDA (2) Electric Power operations</t>
  </si>
  <si>
    <t>Adjusted EBITDA (2) Hydrocarbons operations</t>
  </si>
  <si>
    <t xml:space="preserve">       Exploration and production</t>
  </si>
  <si>
    <t>Total EBITDA</t>
  </si>
  <si>
    <t>EDISON ANNUAL RESULTS BY DIVISION</t>
  </si>
  <si>
    <t xml:space="preserve">Reported EBITDA </t>
  </si>
  <si>
    <t xml:space="preserve">        Exploration &amp; Production</t>
  </si>
  <si>
    <t>Investments in exploration</t>
  </si>
  <si>
    <t xml:space="preserve">(2) Before line losses </t>
  </si>
  <si>
    <t>(3) Excluding the trading portfolio</t>
  </si>
  <si>
    <r>
      <t xml:space="preserve">End customers </t>
    </r>
    <r>
      <rPr>
        <vertAlign val="superscript"/>
        <sz val="10"/>
        <rFont val="Arial"/>
        <family val="2"/>
      </rPr>
      <t>(2)</t>
    </r>
  </si>
  <si>
    <r>
      <t xml:space="preserve">other sales (wholesalers, IPEX, etc.) </t>
    </r>
    <r>
      <rPr>
        <vertAlign val="superscript"/>
        <sz val="10"/>
        <rFont val="Arial"/>
        <family val="2"/>
      </rPr>
      <t>(3)</t>
    </r>
  </si>
  <si>
    <t>Import (Pipe +LNG)</t>
  </si>
  <si>
    <r>
      <t>Changes in stored gas inventory</t>
    </r>
    <r>
      <rPr>
        <vertAlign val="superscript"/>
        <sz val="10"/>
        <rFont val="Arial"/>
        <family val="2"/>
      </rPr>
      <t xml:space="preserve"> (2)</t>
    </r>
  </si>
  <si>
    <t>RESERVES P1 + 50% P2 (Mboe equivalent)</t>
  </si>
  <si>
    <t>(1) Including the production from the Izabela concession in Croatia imported in Italy from 2014</t>
  </si>
  <si>
    <t>(2) Includes pipeline leaks. A negative change reflects additions to the stored gas inventory</t>
  </si>
  <si>
    <t>Adjusted EBITDA (2) Electric Power</t>
  </si>
  <si>
    <t xml:space="preserve">Adjusted EBITDA (2) Hydrocarbons </t>
  </si>
  <si>
    <t xml:space="preserve">      Exploration and production</t>
  </si>
  <si>
    <t xml:space="preserve">Of which: </t>
  </si>
  <si>
    <t xml:space="preserve">      Of which: </t>
  </si>
  <si>
    <t>Employees (Number end of period)</t>
  </si>
  <si>
    <t>Reported EBITDA</t>
  </si>
  <si>
    <t>of which:</t>
  </si>
  <si>
    <t>Gas Uses</t>
  </si>
  <si>
    <t>Gas Sources</t>
  </si>
  <si>
    <r>
      <t xml:space="preserve">Production Italy </t>
    </r>
    <r>
      <rPr>
        <vertAlign val="superscript"/>
        <sz val="10"/>
        <rFont val="Arial"/>
        <family val="2"/>
      </rPr>
      <t>(3)</t>
    </r>
  </si>
  <si>
    <r>
      <t xml:space="preserve">CRUDE OIL VOLUMES </t>
    </r>
    <r>
      <rPr>
        <u val="single"/>
        <sz val="10"/>
        <rFont val="Arial"/>
        <family val="2"/>
      </rPr>
      <t>(kbbl)</t>
    </r>
  </si>
  <si>
    <t>Crude oil production</t>
  </si>
  <si>
    <t xml:space="preserve">Production Italy </t>
  </si>
  <si>
    <t>(4) Counting volumes withheld as production tax</t>
  </si>
  <si>
    <t xml:space="preserve">Total Production </t>
  </si>
  <si>
    <r>
      <t xml:space="preserve">Production outside Italy </t>
    </r>
    <r>
      <rPr>
        <vertAlign val="superscript"/>
        <sz val="10"/>
        <rFont val="Arial"/>
        <family val="2"/>
      </rPr>
      <t>(4)</t>
    </r>
  </si>
  <si>
    <t>(3) It includes the production from the Izabela concession in Croatia imported into Italy from 2014</t>
  </si>
  <si>
    <t>Employees (nr of units end of period)</t>
  </si>
  <si>
    <t>(1) Before line losses and excluding the trading portfolio</t>
  </si>
  <si>
    <t>IQ 2017</t>
  </si>
  <si>
    <t>n.a</t>
  </si>
  <si>
    <t>IIQ 2017</t>
  </si>
  <si>
    <t>III Q 2017</t>
  </si>
  <si>
    <t>9M 2017</t>
  </si>
  <si>
    <t>IV Q 2017</t>
  </si>
  <si>
    <t>MW</t>
  </si>
  <si>
    <t xml:space="preserve">Reservoir </t>
  </si>
  <si>
    <t>Pizzighettone</t>
  </si>
  <si>
    <t>CR</t>
  </si>
  <si>
    <t xml:space="preserve">ITALY </t>
  </si>
  <si>
    <t>Natural gas</t>
  </si>
  <si>
    <t>Total  (MW)</t>
  </si>
  <si>
    <t>INTERNATIONAL</t>
  </si>
  <si>
    <t>Nr of plants</t>
  </si>
  <si>
    <t>Poland (Rzeszow)</t>
  </si>
  <si>
    <t xml:space="preserve">Industrial </t>
  </si>
  <si>
    <t>Total international (MW)</t>
  </si>
  <si>
    <t>Total energy efficiency (MW)</t>
  </si>
  <si>
    <t>ENERGY EFFICIENCY SUMMARY</t>
  </si>
  <si>
    <t>Edison Energy Solutions</t>
  </si>
  <si>
    <t>o/w Italy</t>
  </si>
  <si>
    <t xml:space="preserve">        Spain</t>
  </si>
  <si>
    <t>Coal (Poland)</t>
  </si>
  <si>
    <t>Hydroelectric (Italy)</t>
  </si>
  <si>
    <t xml:space="preserve">Total sources </t>
  </si>
  <si>
    <t>Total uses</t>
  </si>
  <si>
    <t>FY 2017</t>
  </si>
  <si>
    <t>Non-recurring operations</t>
  </si>
  <si>
    <t>Tavagnasco</t>
  </si>
  <si>
    <t>Molino di Marano</t>
  </si>
  <si>
    <t>Ex Strada Statate 11</t>
  </si>
  <si>
    <t>Termini</t>
  </si>
  <si>
    <t>Maranzino</t>
  </si>
  <si>
    <t>Pignone</t>
  </si>
  <si>
    <t>1 Prolungamento</t>
  </si>
  <si>
    <t>Brelle</t>
  </si>
  <si>
    <t>Travacca di Villanova</t>
  </si>
  <si>
    <t>Codabassa</t>
  </si>
  <si>
    <t>Polverificio</t>
  </si>
  <si>
    <t>Carrù</t>
  </si>
  <si>
    <t>Vecchia Strada Gambolò</t>
  </si>
  <si>
    <t>Brida dei Cavalletti</t>
  </si>
  <si>
    <t>Chiusa della Città</t>
  </si>
  <si>
    <t>NO</t>
  </si>
  <si>
    <t>Frendy Energy Spa</t>
  </si>
  <si>
    <t>PV</t>
  </si>
  <si>
    <t>Idro Blu Spa</t>
  </si>
  <si>
    <t>Piemme Castelvetro</t>
  </si>
  <si>
    <t>Central Italy</t>
  </si>
  <si>
    <t>Natural gas/waste</t>
  </si>
  <si>
    <t>Spain (Valladolid) Fompedraza FV</t>
  </si>
  <si>
    <t>Electric power operations</t>
  </si>
  <si>
    <t>Hydrocarbons operations</t>
  </si>
  <si>
    <t>Corporate activities and other segments</t>
  </si>
  <si>
    <t>IH 2017</t>
  </si>
  <si>
    <t>IH 2018</t>
  </si>
  <si>
    <t>III Q 2018</t>
  </si>
  <si>
    <t>9M 2018</t>
  </si>
  <si>
    <t>IV Q 2018</t>
  </si>
  <si>
    <t>FY 2018</t>
  </si>
  <si>
    <t>Edison ownership %</t>
  </si>
  <si>
    <t>Cresti**</t>
  </si>
  <si>
    <t>Montebuono</t>
  </si>
  <si>
    <t>51*</t>
  </si>
  <si>
    <t>Total Edison Hydroelectric Plants (MW)</t>
  </si>
  <si>
    <t xml:space="preserve">Edison ownership % </t>
  </si>
  <si>
    <t>Consolidated capacity 
MW</t>
  </si>
  <si>
    <t>HYDROELECTRIC</t>
  </si>
  <si>
    <t>Spain (Zarzalejo)</t>
  </si>
  <si>
    <t>(2) Adjusted EBITDA is calculated up to December 31, 2017. It reflects the effect of the reclassification from the Hydrocarbons Operations to the Electric Power Operations of the portion of the results of commodity and foreign exchange hedges executed in connection with contracts to import natural gas attributable to the Electric Power Operations. This reclassification is made to provide a consistent operational presentation of industrial results. Adjusted EBITDA include central staff and technical services. Starting from January 1 2018 such reclassification is not required any longer.</t>
  </si>
  <si>
    <t>Restated (5)</t>
  </si>
  <si>
    <t>2017 Restated (3)</t>
  </si>
  <si>
    <t>(3) Other purchases and Other sales in 2017 have been restated to reflect the retrospective adoption of IFRS 15</t>
  </si>
  <si>
    <t>(5) - (6)</t>
  </si>
  <si>
    <t>n.a.</t>
  </si>
  <si>
    <t xml:space="preserve">(3) Since January 1, 2018 IFRS 15 “Revenue from contracts with customers” and IFRS9 (relating to financial instruments) entered into force. In order to improve comparability over time, Edison has decided to adopt IFRS15 retrospectively by restating 2017 financial statement. As a result of the adoption of this standard, sales revenues decreased with no impact on EBITDA. The impact of the first adoption of IFRS9 were recorded in equity without restatement of 2017 results. </t>
  </si>
  <si>
    <t>2017 Restated (1)</t>
  </si>
  <si>
    <t xml:space="preserve">(1) Since January 1, 2018 IFRS 15 “Revenue from contracts with customers” and IFRS9 (relating to financial instruments) entered into force. In order to improve comparability over time, Edison has decided to adopt IFRS15 retrospectively by restating 2017 financial statement. As a result of the adoption of this standard, sales revenues decreased with no impact on EBITDA. The impact of the first adoption of IFRS9 were recorded in equity without restatement of 2017 results. </t>
  </si>
  <si>
    <t>IQ 2018 (7)</t>
  </si>
  <si>
    <t xml:space="preserve">IIQ 2018 </t>
  </si>
  <si>
    <t>IQ 2018</t>
  </si>
  <si>
    <t>Edison stake in net efficient power
MW</t>
  </si>
  <si>
    <t>Labour costs</t>
  </si>
  <si>
    <t>Total costs</t>
  </si>
  <si>
    <t>THERMOELECTRIC GENERATION PLANTS @ December 31, 2018</t>
  </si>
  <si>
    <t>Net efficient power
MW</t>
  </si>
  <si>
    <t>Mothballing</t>
  </si>
  <si>
    <t>in mothballing</t>
  </si>
  <si>
    <t>1995 - 2011 (repowering TG)</t>
  </si>
  <si>
    <t>Sesto San Giovanni 1</t>
  </si>
  <si>
    <t>1994 - 2015 ( repowering TV)</t>
  </si>
  <si>
    <t>1993 - 2010 ( repowering TG )</t>
  </si>
  <si>
    <t>1992 - 2001 (repowering TG)</t>
  </si>
  <si>
    <t>Sesto San Giovanni 2</t>
  </si>
  <si>
    <t>For example: Elpedison and Ibiritermo.</t>
  </si>
  <si>
    <t>HYDROELECTRIC GENERATION PLANTS  @ December 31, 2018</t>
  </si>
  <si>
    <t>Edison stake in net efficient power MW</t>
  </si>
  <si>
    <t>1928-2011</t>
  </si>
  <si>
    <t>1942-2010</t>
  </si>
  <si>
    <t>1955-2008</t>
  </si>
  <si>
    <t>1947-2008</t>
  </si>
  <si>
    <t>1936-2009</t>
  </si>
  <si>
    <t>1962-2011</t>
  </si>
  <si>
    <t>1920-2003</t>
  </si>
  <si>
    <t>1914-2001</t>
  </si>
  <si>
    <t>1935-1953</t>
  </si>
  <si>
    <t>1959-2015</t>
  </si>
  <si>
    <t>1960-2011</t>
  </si>
  <si>
    <t>1949-2005</t>
  </si>
  <si>
    <t>1905-2012</t>
  </si>
  <si>
    <t>1964-2005</t>
  </si>
  <si>
    <t>1920-2008</t>
  </si>
  <si>
    <t>1939-2004</t>
  </si>
  <si>
    <t>1920-2004</t>
  </si>
  <si>
    <t>1990-2004</t>
  </si>
  <si>
    <t>1916-2017</t>
  </si>
  <si>
    <t>1904-2017</t>
  </si>
  <si>
    <t>TO (IAFR)</t>
  </si>
  <si>
    <t>1952-2012</t>
  </si>
  <si>
    <t>1907-2011</t>
  </si>
  <si>
    <t>1943-2015</t>
  </si>
  <si>
    <t>TO (FER_E)</t>
  </si>
  <si>
    <t>Brusson</t>
  </si>
  <si>
    <t>AO</t>
  </si>
  <si>
    <t>Idroelettrica Brusson Srl</t>
  </si>
  <si>
    <t>Cervino</t>
  </si>
  <si>
    <t>Idroelettrica Cervino Srl</t>
  </si>
  <si>
    <t>Maen</t>
  </si>
  <si>
    <t>Kraftwerke (**)</t>
  </si>
  <si>
    <t>(*) stake owned by Frendy Energy Spa</t>
  </si>
  <si>
    <t>(**) power generated imported in Italy and classified in Edison volumes among other purchases, not in hydroelectric power generation</t>
  </si>
  <si>
    <t>OTHER RENEWABLES GENERATION PLANTS @ December 31, 2018</t>
  </si>
  <si>
    <t>Castiglione Messer Marino</t>
  </si>
  <si>
    <t>Castiglione Messer Marino (IR1)</t>
  </si>
  <si>
    <t>2018*</t>
  </si>
  <si>
    <t>Mazara del Vallo</t>
  </si>
  <si>
    <t>Schiavi d'Abruzzo</t>
  </si>
  <si>
    <t>Schiavi d'Abruzzo (IR2)</t>
  </si>
  <si>
    <t>Troia</t>
  </si>
  <si>
    <t>2018**</t>
  </si>
  <si>
    <t>Vaglio Ampliamento</t>
  </si>
  <si>
    <t>Vaglio di Basilicata</t>
  </si>
  <si>
    <t>Vaglio IR</t>
  </si>
  <si>
    <t>Photovoltaic  Dora</t>
  </si>
  <si>
    <t>Photovoltaic  Montalto</t>
  </si>
  <si>
    <t>Photovoltaic  Castellavazzo</t>
  </si>
  <si>
    <t>Compagnia Energetica Bellunese Spa</t>
  </si>
  <si>
    <t>Castellavazzo</t>
  </si>
  <si>
    <t>(*) completion at end 2018, plants connected to the grid and dispatching</t>
  </si>
  <si>
    <t>(**) completion at end 2018, plants connected to the grid, dispatching and take over completed</t>
  </si>
  <si>
    <t>ENERGY EFFICIENCY PLANTS @ December 31, 2018</t>
  </si>
  <si>
    <t>Thermal Power Plants</t>
  </si>
  <si>
    <t>FAI (Fondo Ambiente Italiano)</t>
  </si>
  <si>
    <t>Milano (MI)</t>
  </si>
  <si>
    <t>1 Heater + 3 Heat Pumps</t>
  </si>
  <si>
    <t xml:space="preserve">   o/w exploration costs</t>
  </si>
  <si>
    <t>Other costs (2)</t>
  </si>
  <si>
    <t>(2) Since 2018, Edison has adopted a different classification of costs. This category includes all the items that no longer match the items in the table. For a further detail, please refer to the consolidated financial statement.</t>
  </si>
  <si>
    <t>Breakdown by Business Segment of raw material and services costs</t>
  </si>
  <si>
    <t>Hydroelectric (Switzerland)</t>
  </si>
  <si>
    <t>Total (consolidated line by line)</t>
  </si>
  <si>
    <t>Total (equity consolidation)</t>
  </si>
  <si>
    <t>Energy Efficiency Plants Italy (generation)</t>
  </si>
  <si>
    <t>Energy Efficiency Plants Abroad (generation)</t>
  </si>
  <si>
    <t>Thermoelectric (Spain)</t>
  </si>
  <si>
    <t>Photovoltaic (Spain)</t>
  </si>
  <si>
    <t>Generation Plants Abroad</t>
  </si>
  <si>
    <t>Generation Plants Italy</t>
  </si>
  <si>
    <t>2018 (4)</t>
  </si>
  <si>
    <t xml:space="preserve">(4) 2018 figures include the acquisition of GNVI in March, Attiva in May and Zephyro in July
</t>
  </si>
  <si>
    <t>Total liabilities</t>
  </si>
  <si>
    <r>
      <t>Total capital investments</t>
    </r>
    <r>
      <rPr>
        <b/>
        <vertAlign val="superscript"/>
        <sz val="10"/>
        <rFont val="Arial"/>
        <family val="2"/>
      </rPr>
      <t>4</t>
    </r>
  </si>
  <si>
    <t>(4) Starting from 2018, detail by business segment of investments in capital expenditures and intangibles is no longer available</t>
  </si>
  <si>
    <t xml:space="preserve">   of which investments in exploration</t>
  </si>
  <si>
    <t>2017 Restated (4)</t>
  </si>
  <si>
    <t xml:space="preserve">2017 Restated </t>
  </si>
  <si>
    <t>2018 (5)</t>
  </si>
  <si>
    <t xml:space="preserve">(4) In order to improve comparability over time, Edison has decided to adopt IFRS15 retrospectively by restating 2017 volumes. </t>
  </si>
  <si>
    <t xml:space="preserve">(5) 2018 figures include the acquisition of GNVI in March, Attiva in May and Zephyro in July
</t>
  </si>
  <si>
    <t>2017 Restated (1-3)</t>
  </si>
  <si>
    <t>2018 (3)</t>
  </si>
  <si>
    <t xml:space="preserve">Total for the Group </t>
  </si>
  <si>
    <t xml:space="preserve">(3) The values do not include writedowns of trade and other receivables (respectively €61mln in 2017 and €15mln in 2018), as no detail per business is provided in the Financial Report . </t>
  </si>
  <si>
    <t xml:space="preserve">(5) Since January 1, 2018 IFRS 15 “Revenue from contracts with customers” and IFRS9 (relating to financial instruments) entered into force. In order to improve comparability over time, Edison has decided to adopt IFRS15 retrospectively by restating 2017 financial statement. As a result of the adoption of this standard, sales revenues decreased with no impact on EBITDA. The impact of the first adoption of IFRS9 were recorded in equity without restatement of 2017 results. </t>
  </si>
  <si>
    <t>(6)  2018 figures include the acquisition of GNVI in March, Attiva in May and Zephyro in July</t>
  </si>
  <si>
    <t>IQ 2019</t>
  </si>
  <si>
    <t xml:space="preserve">IIQ 2019 </t>
  </si>
  <si>
    <t>IH 2019</t>
  </si>
  <si>
    <t>III Q 2019</t>
  </si>
  <si>
    <t>9M 2019</t>
  </si>
  <si>
    <t>IV Q 2019</t>
  </si>
  <si>
    <t>FY 2019</t>
  </si>
  <si>
    <t xml:space="preserve">(7) IQ2018 Revenues, commodity &amp; logistics costs and volumes of the Electric Power businesshave been re-determined in consistence with the adoption of IFRS15, with no impact on EBITDA   </t>
  </si>
  <si>
    <t xml:space="preserve">(2) Adjusted EBITDA, calculated up to December 31, 2017, reflects the effect of the reclassification from the Hydrocarbons Operations to the Electric Power Operations of the portion of the results of commodity and foreign exchange hedges executed in connection with contracts to import natural gas attributable to the Electric Power Operations. In FY2018 such reclassification is not required. </t>
  </si>
  <si>
    <t>(2) Adjusted EBITDA, calculated up to December 31, 2017, reflect the effect of the reclassification from the Hydrocarbons Operations to the Electric Power Operations of the portion of the results of commodity and foreign exchange hedges executed in connection with contracts to import natural gas attributable to the Electric Power Operations. This reclassification is being made to provide a consistent operational presentation of industrial results. Adjusted EBITDA include central staff and technical services.</t>
  </si>
  <si>
    <t>(8)</t>
  </si>
  <si>
    <t>(8) Adoption of the new international financial reporting standard IFRS 16 “Leases” prospectively starting from January 1, 2019, without restatement of comparative data.</t>
  </si>
  <si>
    <t>Mini hydro plants</t>
  </si>
  <si>
    <t>Large hydro plants</t>
  </si>
  <si>
    <t>Plants @ Dec 31, 2018.2018</t>
  </si>
  <si>
    <t>RID = dedicated offtake</t>
  </si>
  <si>
    <t>IAFR = former green certificate</t>
  </si>
  <si>
    <t>FER_E= incentive from GSE</t>
  </si>
  <si>
    <t>Irrigation-related</t>
  </si>
  <si>
    <t>being reconstructed</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</si>
</sst>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
    <numFmt numFmtId="175" formatCode="d\-mmm\-yy"/>
    <numFmt numFmtId="176" formatCode="#,##0.0"/>
    <numFmt numFmtId="177" formatCode="_-* #,##0.0_-;\-* #,##0.0_-;_-* &quot;-&quot;_-;_-@_-"/>
    <numFmt numFmtId="178" formatCode="#,##0.0_);[Red]\(#,##0.0\)"/>
    <numFmt numFmtId="179" formatCode="#,##0_);[Red]\(#,##0\);&quot;-&quot;_);@"/>
    <numFmt numFmtId="180" formatCode="#,##0.0_);[Red]\(#,##0.0\);&quot;-&quot;_);[Blue]&quot;Error-&quot;@"/>
    <numFmt numFmtId="181" formatCode="#,##0.00_);[Red]\(#,##0.00\);&quot;-&quot;_);[Blue]&quot;Error-&quot;@"/>
    <numFmt numFmtId="182" formatCode="#,##0_);[Red]\(#,##0\);&quot;-&quot;_);[Blue]&quot;Error-&quot;@"/>
    <numFmt numFmtId="183" formatCode="&quot;x&quot;\ #,##0.00_);[Red]&quot;x&quot;\ \(#,##0.00\);&quot;-&quot;_);@"/>
    <numFmt numFmtId="184" formatCode="&quot;£&quot;* #,##0_);[Red]&quot;£&quot;* \(#,##0\);&quot;£&quot;* &quot;-&quot;_);[Blue]&quot;Error-&quot;@"/>
    <numFmt numFmtId="185" formatCode="&quot;£&quot;* #,##0.0_);[Red]&quot;£&quot;* \(#,##0.0\);&quot;£&quot;* &quot;-&quot;_);[Blue]&quot;Error-&quot;@"/>
    <numFmt numFmtId="186" formatCode="&quot;£&quot;* #,##0.00_);[Red]&quot;£&quot;* \(#,##0.00\);&quot;£&quot;* &quot;-&quot;_);[Blue]&quot;Error-&quot;@"/>
    <numFmt numFmtId="187" formatCode="dd\ mmm\ yyyy_)"/>
    <numFmt numFmtId="188" formatCode="dd/mm/yy_)"/>
    <numFmt numFmtId="189" formatCode="0%_);[Red]\-0%_);0%_);[Blue]&quot;Error-&quot;@"/>
    <numFmt numFmtId="190" formatCode="0.0%_);[Red]\-0.0%_);0.0%_);[Blue]&quot;Error-&quot;@"/>
    <numFmt numFmtId="191" formatCode="0.00%_);[Red]\-0.00%_);0.00%_);[Blue]&quot;Error-&quot;@"/>
    <numFmt numFmtId="192" formatCode="#,##0.0;\(#,##0.0\)"/>
    <numFmt numFmtId="193" formatCode="#,##0.00;\(#,##0.00\)"/>
    <numFmt numFmtId="194" formatCode="#,##0.000;[Red]\(#,##0.000\)"/>
    <numFmt numFmtId="195" formatCode="000"/>
    <numFmt numFmtId="196" formatCode="[Blue]\+_ #,##0_);[Magenta]\(#,##0\);\-_)"/>
    <numFmt numFmtId="197" formatCode="[Blue]\+_ #,##0.0_);[Magenta]\(#,##0.0\);\-_)"/>
    <numFmt numFmtId="198" formatCode="[Blue]\+_ #,##0.00_);[Magenta]\(#,##0.00\);\-_)"/>
    <numFmt numFmtId="199" formatCode="yyyy/mm/dd\ "/>
    <numFmt numFmtId="200" formatCode="0.0000_)"/>
    <numFmt numFmtId="201" formatCode="[Blue]#,##0_);[Magenta]\(#,##0\)"/>
    <numFmt numFmtId="202" formatCode="[Blue]#,##0.0_);[Magenta]\(#,##0.0\)"/>
    <numFmt numFmtId="203" formatCode="[Blue]#,##0.00_);[Magenta]\(#,##0.00\)"/>
    <numFmt numFmtId="204" formatCode="[Blue]0.00%"/>
    <numFmt numFmtId="205" formatCode="[Blue]#,##0_);[Magenta]\(#,##0\);\-"/>
    <numFmt numFmtId="206" formatCode="[Blue]#,##0.000_);[Magenta]\(#,##0.000\);\-"/>
    <numFmt numFmtId="207" formatCode="#,##0_);[Red]\(#,##0\)"/>
    <numFmt numFmtId="208" formatCode="#,##0.00_);[Red]\(#,##0.00\)"/>
    <numFmt numFmtId="209" formatCode="#,##0.000_);[Red]\(#,##0.000\);\-"/>
    <numFmt numFmtId="210" formatCode="yyyy/mm/dd\ hh:mm"/>
    <numFmt numFmtId="211" formatCode="\'@\'"/>
    <numFmt numFmtId="212" formatCode="_-&quot;L.&quot;\ * #,##0_-;\-&quot;L.&quot;\ * #,##0_-;_-&quot;L.&quot;\ * &quot;-&quot;_-;_-@_-"/>
    <numFmt numFmtId="213" formatCode="#,##0.000"/>
    <numFmt numFmtId="214" formatCode="0.000"/>
    <numFmt numFmtId="215" formatCode="0.0000"/>
    <numFmt numFmtId="216" formatCode="[$-410]mmm\-yy;@"/>
    <numFmt numFmtId="217" formatCode="[$-410]dddd\ d\ mmmm\ yyyy"/>
  </numFmts>
  <fonts count="125">
    <font>
      <sz val="10"/>
      <name val="Arial"/>
      <family val="0"/>
    </font>
    <font>
      <b/>
      <sz val="10"/>
      <name val="Arial"/>
      <family val="2"/>
    </font>
    <font>
      <u val="single"/>
      <sz val="10"/>
      <color indexed="12"/>
      <name val="Arial"/>
      <family val="2"/>
    </font>
    <font>
      <u val="single"/>
      <sz val="10"/>
      <color indexed="36"/>
      <name val="Arial"/>
      <family val="2"/>
    </font>
    <font>
      <b/>
      <u val="single"/>
      <sz val="10"/>
      <name val="Arial"/>
      <family val="2"/>
    </font>
    <font>
      <b/>
      <sz val="10"/>
      <color indexed="9"/>
      <name val="Arial"/>
      <family val="2"/>
    </font>
    <font>
      <b/>
      <i/>
      <sz val="10"/>
      <name val="Arial"/>
      <family val="2"/>
    </font>
    <font>
      <b/>
      <u val="single"/>
      <sz val="12"/>
      <name val="Arial"/>
      <family val="2"/>
    </font>
    <font>
      <sz val="10"/>
      <color indexed="12"/>
      <name val="Arial"/>
      <family val="2"/>
    </font>
    <font>
      <sz val="8"/>
      <name val="Arial"/>
      <family val="2"/>
    </font>
    <font>
      <i/>
      <sz val="10"/>
      <name val="Arial"/>
      <family val="2"/>
    </font>
    <font>
      <sz val="9"/>
      <name val="Arial"/>
      <family val="2"/>
    </font>
    <font>
      <b/>
      <sz val="9"/>
      <name val="Arial"/>
      <family val="2"/>
    </font>
    <font>
      <sz val="11"/>
      <name val="Arial"/>
      <family val="2"/>
    </font>
    <font>
      <u val="single"/>
      <sz val="10"/>
      <name val="Arial"/>
      <family val="2"/>
    </font>
    <font>
      <sz val="10"/>
      <name val="Helv"/>
      <family val="0"/>
    </font>
    <font>
      <sz val="13"/>
      <name val="Tms Rmn"/>
      <family val="0"/>
    </font>
    <font>
      <sz val="12"/>
      <name val="Tms Rmn"/>
      <family val="0"/>
    </font>
    <font>
      <sz val="10"/>
      <name val="Tms Rmn"/>
      <family val="0"/>
    </font>
    <font>
      <sz val="12"/>
      <color indexed="9"/>
      <name val="Arial"/>
      <family val="2"/>
    </font>
    <font>
      <sz val="11"/>
      <color indexed="8"/>
      <name val="Arial"/>
      <family val="2"/>
    </font>
    <font>
      <b/>
      <u val="single"/>
      <sz val="10"/>
      <name val="Helv"/>
      <family val="0"/>
    </font>
    <font>
      <b/>
      <i/>
      <sz val="10"/>
      <name val="Helv"/>
      <family val="0"/>
    </font>
    <font>
      <i/>
      <sz val="8"/>
      <color indexed="62"/>
      <name val="Arial"/>
      <family val="2"/>
    </font>
    <font>
      <sz val="8"/>
      <color indexed="20"/>
      <name val="Arial"/>
      <family val="2"/>
    </font>
    <font>
      <sz val="10"/>
      <name val="MS Sans Serif"/>
      <family val="2"/>
    </font>
    <font>
      <sz val="9"/>
      <name val="Geneva"/>
      <family val="0"/>
    </font>
    <font>
      <b/>
      <sz val="12"/>
      <color indexed="8"/>
      <name val="Arial"/>
      <family val="2"/>
    </font>
    <font>
      <b/>
      <i/>
      <u val="single"/>
      <sz val="10"/>
      <name val="Helv"/>
      <family val="0"/>
    </font>
    <font>
      <b/>
      <i/>
      <sz val="12"/>
      <name val="Arial"/>
      <family val="2"/>
    </font>
    <font>
      <sz val="9"/>
      <color indexed="8"/>
      <name val="Arial"/>
      <family val="2"/>
    </font>
    <font>
      <sz val="7"/>
      <name val="Arial"/>
      <family val="2"/>
    </font>
    <font>
      <b/>
      <u val="single"/>
      <sz val="16"/>
      <name val="Arial"/>
      <family val="2"/>
    </font>
    <font>
      <b/>
      <i/>
      <u val="single"/>
      <sz val="14"/>
      <name val="Arial"/>
      <family val="2"/>
    </font>
    <font>
      <b/>
      <sz val="10"/>
      <color indexed="10"/>
      <name val="Arial"/>
      <family val="2"/>
    </font>
    <font>
      <sz val="12"/>
      <name val="Arial"/>
      <family val="2"/>
    </font>
    <font>
      <b/>
      <sz val="10"/>
      <color indexed="12"/>
      <name val="Arial"/>
      <family val="2"/>
    </font>
    <font>
      <vertAlign val="superscript"/>
      <sz val="10"/>
      <name val="Arial"/>
      <family val="2"/>
    </font>
    <font>
      <i/>
      <sz val="11"/>
      <name val="Arial"/>
      <family val="2"/>
    </font>
    <font>
      <b/>
      <sz val="11"/>
      <name val="Arial"/>
      <family val="2"/>
    </font>
    <font>
      <b/>
      <vertAlign val="superscript"/>
      <sz val="10"/>
      <name val="Arial"/>
      <family val="2"/>
    </font>
    <font>
      <b/>
      <sz val="12"/>
      <name val="Arial"/>
      <family val="2"/>
    </font>
    <font>
      <b/>
      <i/>
      <sz val="11"/>
      <name val="Arial"/>
      <family val="2"/>
    </font>
    <font>
      <sz val="11"/>
      <color indexed="12"/>
      <name val="Arial"/>
      <family val="2"/>
    </font>
    <font>
      <i/>
      <sz val="11"/>
      <color indexed="12"/>
      <name val="Arial"/>
      <family val="2"/>
    </font>
    <font>
      <b/>
      <sz val="11"/>
      <color indexed="12"/>
      <name val="Arial"/>
      <family val="2"/>
    </font>
    <font>
      <b/>
      <sz val="16"/>
      <name val="Arial"/>
      <family val="2"/>
    </font>
    <font>
      <b/>
      <sz val="11"/>
      <color indexed="40"/>
      <name val="Arial"/>
      <family val="2"/>
    </font>
    <font>
      <b/>
      <u val="single"/>
      <sz val="11"/>
      <name val="Arial"/>
      <family val="2"/>
    </font>
    <font>
      <u val="single"/>
      <sz val="11"/>
      <name val="Arial"/>
      <family val="2"/>
    </font>
    <font>
      <b/>
      <i/>
      <u val="single"/>
      <sz val="11"/>
      <name val="Arial"/>
      <family val="2"/>
    </font>
    <font>
      <i/>
      <sz val="10"/>
      <color indexed="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30"/>
      <name val="Arial"/>
      <family val="2"/>
    </font>
    <font>
      <sz val="10"/>
      <color indexed="10"/>
      <name val="Arial"/>
      <family val="2"/>
    </font>
    <font>
      <b/>
      <u val="single"/>
      <sz val="10"/>
      <color indexed="8"/>
      <name val="Arial"/>
      <family val="2"/>
    </font>
    <font>
      <sz val="10"/>
      <color indexed="8"/>
      <name val="Arial"/>
      <family val="2"/>
    </font>
    <font>
      <b/>
      <u val="single"/>
      <sz val="12"/>
      <color indexed="8"/>
      <name val="Arial"/>
      <family val="2"/>
    </font>
    <font>
      <sz val="12"/>
      <color indexed="8"/>
      <name val="Arial"/>
      <family val="2"/>
    </font>
    <font>
      <b/>
      <sz val="10"/>
      <color indexed="8"/>
      <name val="Arial"/>
      <family val="2"/>
    </font>
    <font>
      <b/>
      <i/>
      <u val="single"/>
      <sz val="10"/>
      <color indexed="8"/>
      <name val="Arial"/>
      <family val="2"/>
    </font>
    <font>
      <b/>
      <i/>
      <sz val="10"/>
      <color indexed="8"/>
      <name val="Arial"/>
      <family val="2"/>
    </font>
    <font>
      <u val="single"/>
      <sz val="10"/>
      <color indexed="8"/>
      <name val="Arial"/>
      <family val="2"/>
    </font>
    <font>
      <i/>
      <sz val="10"/>
      <color indexed="30"/>
      <name val="Arial"/>
      <family val="2"/>
    </font>
    <font>
      <b/>
      <sz val="10"/>
      <color indexed="30"/>
      <name val="Arial"/>
      <family val="2"/>
    </font>
    <font>
      <b/>
      <i/>
      <sz val="10"/>
      <color indexed="30"/>
      <name val="Arial"/>
      <family val="2"/>
    </font>
    <font>
      <b/>
      <sz val="11"/>
      <color indexed="9"/>
      <name val="Arial"/>
      <family val="2"/>
    </font>
    <font>
      <b/>
      <i/>
      <sz val="11"/>
      <color indexed="9"/>
      <name val="Arial"/>
      <family val="2"/>
    </font>
    <font>
      <sz val="11"/>
      <color indexed="24"/>
      <name val="Arial"/>
      <family val="2"/>
    </font>
    <font>
      <sz val="11"/>
      <color indexed="9"/>
      <name val="Arial"/>
      <family val="2"/>
    </font>
    <font>
      <sz val="11"/>
      <color indexed="10"/>
      <name val="Arial"/>
      <family val="2"/>
    </font>
    <font>
      <b/>
      <sz val="12"/>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70C0"/>
      <name val="Arial"/>
      <family val="2"/>
    </font>
    <font>
      <sz val="10"/>
      <color rgb="FFFF0000"/>
      <name val="Arial"/>
      <family val="2"/>
    </font>
    <font>
      <b/>
      <u val="single"/>
      <sz val="10"/>
      <color theme="1"/>
      <name val="Arial"/>
      <family val="2"/>
    </font>
    <font>
      <sz val="10"/>
      <color theme="1"/>
      <name val="Arial"/>
      <family val="2"/>
    </font>
    <font>
      <b/>
      <u val="single"/>
      <sz val="12"/>
      <color theme="1"/>
      <name val="Arial"/>
      <family val="2"/>
    </font>
    <font>
      <sz val="12"/>
      <color theme="1"/>
      <name val="Arial"/>
      <family val="2"/>
    </font>
    <font>
      <b/>
      <sz val="10"/>
      <color theme="1"/>
      <name val="Arial"/>
      <family val="2"/>
    </font>
    <font>
      <b/>
      <i/>
      <u val="single"/>
      <sz val="10"/>
      <color theme="1"/>
      <name val="Arial"/>
      <family val="2"/>
    </font>
    <font>
      <b/>
      <i/>
      <sz val="10"/>
      <color theme="1"/>
      <name val="Arial"/>
      <family val="2"/>
    </font>
    <font>
      <u val="single"/>
      <sz val="10"/>
      <color theme="1"/>
      <name val="Arial"/>
      <family val="2"/>
    </font>
    <font>
      <i/>
      <sz val="10"/>
      <color rgb="FF0070C0"/>
      <name val="Arial"/>
      <family val="2"/>
    </font>
    <font>
      <b/>
      <sz val="10"/>
      <color rgb="FF0070C0"/>
      <name val="Arial"/>
      <family val="2"/>
    </font>
    <font>
      <b/>
      <i/>
      <sz val="10"/>
      <color rgb="FF0070C0"/>
      <name val="Arial"/>
      <family val="2"/>
    </font>
    <font>
      <b/>
      <sz val="10"/>
      <color theme="0"/>
      <name val="Arial"/>
      <family val="2"/>
    </font>
    <font>
      <b/>
      <sz val="11"/>
      <color theme="0"/>
      <name val="Arial"/>
      <family val="2"/>
    </font>
    <font>
      <b/>
      <i/>
      <sz val="11"/>
      <color theme="0"/>
      <name val="Arial"/>
      <family val="2"/>
    </font>
    <font>
      <sz val="11"/>
      <color rgb="FF6666FF"/>
      <name val="Arial"/>
      <family val="2"/>
    </font>
    <font>
      <sz val="11"/>
      <color theme="0"/>
      <name val="Arial"/>
      <family val="2"/>
    </font>
    <font>
      <b/>
      <sz val="11"/>
      <color rgb="FFFFFFFF"/>
      <name val="Arial"/>
      <family val="2"/>
    </font>
    <font>
      <sz val="11"/>
      <color rgb="FFFF0000"/>
      <name val="Arial"/>
      <family val="2"/>
    </font>
    <font>
      <b/>
      <sz val="12"/>
      <color rgb="FFFF0000"/>
      <name val="Arial"/>
      <family val="2"/>
    </font>
    <font>
      <b/>
      <sz val="11"/>
      <color rgb="FF0000FF"/>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5"/>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theme="0" tint="-0.24997000396251678"/>
        <bgColor indexed="64"/>
      </patternFill>
    </fill>
    <fill>
      <patternFill patternType="solid">
        <fgColor rgb="FF0070C0"/>
        <bgColor indexed="64"/>
      </patternFill>
    </fill>
    <fill>
      <patternFill patternType="solid">
        <fgColor theme="3"/>
        <bgColor indexed="64"/>
      </patternFill>
    </fill>
    <fill>
      <patternFill patternType="solid">
        <fgColor theme="0"/>
        <bgColor indexed="64"/>
      </patternFill>
    </fill>
    <fill>
      <patternFill patternType="solid">
        <fgColor rgb="FF1F497D"/>
        <bgColor indexed="64"/>
      </patternFill>
    </fill>
    <fill>
      <patternFill patternType="solid">
        <fgColor theme="0" tint="-0.3499799966812134"/>
        <bgColor indexed="64"/>
      </patternFill>
    </fill>
    <fill>
      <patternFill patternType="solid">
        <fgColor rgb="FF0070C0"/>
        <bgColor indexed="64"/>
      </patternFill>
    </fill>
    <fill>
      <patternFill patternType="solid">
        <fgColor rgb="FFA6A6A6"/>
        <bgColor indexed="64"/>
      </patternFill>
    </fill>
    <fill>
      <patternFill patternType="solid">
        <fgColor theme="0" tint="-0.1499900072813034"/>
        <bgColor indexed="64"/>
      </patternFill>
    </fill>
  </fills>
  <borders count="63">
    <border>
      <left/>
      <right/>
      <top/>
      <bottom/>
      <diagonal/>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double"/>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border>
    <border>
      <left style="medium"/>
      <right>
        <color indexed="63"/>
      </right>
      <top>
        <color indexed="63"/>
      </top>
      <bottom>
        <color indexed="63"/>
      </bottom>
    </border>
    <border>
      <left style="medium"/>
      <right style="medium"/>
      <top/>
      <bottom/>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border>
    <border>
      <left style="medium"/>
      <right style="medium"/>
      <top style="thin"/>
      <bottom style="thin"/>
    </border>
    <border>
      <left style="double"/>
      <right style="double"/>
      <top style="double"/>
      <bottom style="double"/>
    </border>
    <border>
      <left>
        <color indexed="63"/>
      </left>
      <right>
        <color indexed="63"/>
      </right>
      <top style="medium"/>
      <bottom style="medium"/>
    </border>
    <border>
      <left style="medium"/>
      <right style="medium"/>
      <top/>
      <bottom style="medium"/>
    </border>
    <border>
      <left style="thin"/>
      <right style="thin"/>
      <top style="medium"/>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border>
    <border>
      <left style="thin"/>
      <right style="medium"/>
      <top style="medium"/>
      <bottom/>
    </border>
    <border>
      <left style="medium"/>
      <right style="thin"/>
      <top/>
      <bottom/>
    </border>
    <border>
      <left style="medium"/>
      <right>
        <color indexed="63"/>
      </right>
      <top style="thin"/>
      <bottom style="thin"/>
    </border>
    <border>
      <left style="medium"/>
      <right/>
      <top/>
      <bottom style="medium"/>
    </border>
    <border>
      <left style="medium"/>
      <right style="medium"/>
      <top style="thin"/>
      <bottom style="medium"/>
    </border>
    <border>
      <left style="medium"/>
      <right style="thin"/>
      <top/>
      <bottom style="medium"/>
    </border>
    <border>
      <left style="thin"/>
      <right style="thin"/>
      <top/>
      <bottom style="medium"/>
    </border>
    <border>
      <left/>
      <right style="medium"/>
      <top/>
      <bottom style="medium"/>
    </border>
    <border>
      <left style="double"/>
      <right/>
      <top style="double"/>
      <bottom style="double"/>
    </border>
    <border>
      <left/>
      <right/>
      <top/>
      <bottom style="medium"/>
    </border>
    <border>
      <left style="medium"/>
      <right style="thin"/>
      <top/>
      <bottom style="thin"/>
    </border>
    <border>
      <left style="thin"/>
      <right style="medium"/>
      <top/>
      <bottom style="thin"/>
    </border>
    <border>
      <left>
        <color indexed="63"/>
      </left>
      <right style="medium"/>
      <top style="thin"/>
      <bottom style="thin"/>
    </border>
    <border>
      <left style="thin"/>
      <right style="medium"/>
      <top/>
      <bottom/>
    </border>
    <border>
      <left style="thin"/>
      <right style="medium"/>
      <top/>
      <bottom style="medium"/>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0" fillId="0" borderId="0">
      <alignment/>
      <protection/>
    </xf>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11" fillId="0" borderId="0">
      <alignment/>
      <protection/>
    </xf>
    <xf numFmtId="178" fontId="0" fillId="0" borderId="0">
      <alignment/>
      <protection locked="0"/>
    </xf>
    <xf numFmtId="178" fontId="15" fillId="0" borderId="1" applyNumberFormat="0" applyFont="0" applyFill="0" applyBorder="0" applyAlignment="0">
      <protection/>
    </xf>
    <xf numFmtId="179" fontId="11" fillId="0" borderId="0">
      <alignment/>
      <protection/>
    </xf>
    <xf numFmtId="180" fontId="11" fillId="0" borderId="0">
      <alignment/>
      <protection/>
    </xf>
    <xf numFmtId="181" fontId="11" fillId="0" borderId="0">
      <alignment/>
      <protection/>
    </xf>
    <xf numFmtId="182" fontId="11" fillId="0" borderId="1">
      <alignment/>
      <protection/>
    </xf>
    <xf numFmtId="180" fontId="11" fillId="0" borderId="1">
      <alignment/>
      <protection/>
    </xf>
    <xf numFmtId="181" fontId="11" fillId="0" borderId="1">
      <alignment/>
      <protection/>
    </xf>
    <xf numFmtId="183" fontId="11" fillId="0" borderId="0">
      <alignment horizontal="center"/>
      <protection/>
    </xf>
    <xf numFmtId="184" fontId="11" fillId="0" borderId="0">
      <alignment/>
      <protection/>
    </xf>
    <xf numFmtId="185" fontId="11" fillId="0" borderId="0">
      <alignment/>
      <protection/>
    </xf>
    <xf numFmtId="186" fontId="11" fillId="0" borderId="0">
      <alignment/>
      <protection/>
    </xf>
    <xf numFmtId="184" fontId="11" fillId="0" borderId="1">
      <alignment/>
      <protection/>
    </xf>
    <xf numFmtId="185" fontId="11" fillId="0" borderId="1">
      <alignment/>
      <protection/>
    </xf>
    <xf numFmtId="186" fontId="11" fillId="0" borderId="1">
      <alignment/>
      <protection/>
    </xf>
    <xf numFmtId="187" fontId="11" fillId="0" borderId="0">
      <alignment horizontal="right"/>
      <protection locked="0"/>
    </xf>
    <xf numFmtId="188" fontId="11" fillId="0" borderId="0">
      <alignment horizontal="right"/>
      <protection locked="0"/>
    </xf>
    <xf numFmtId="189" fontId="11" fillId="0" borderId="0">
      <alignment/>
      <protection/>
    </xf>
    <xf numFmtId="190" fontId="11" fillId="0" borderId="0">
      <alignment/>
      <protection/>
    </xf>
    <xf numFmtId="191" fontId="11" fillId="0" borderId="0">
      <alignment/>
      <protection/>
    </xf>
    <xf numFmtId="189" fontId="11" fillId="0" borderId="1">
      <alignment/>
      <protection/>
    </xf>
    <xf numFmtId="190" fontId="11" fillId="0" borderId="1">
      <alignment/>
      <protection/>
    </xf>
    <xf numFmtId="191" fontId="11" fillId="0" borderId="1">
      <alignment/>
      <protection/>
    </xf>
    <xf numFmtId="0" fontId="89" fillId="20" borderId="2" applyNumberFormat="0" applyAlignment="0" applyProtection="0"/>
    <xf numFmtId="0" fontId="90" fillId="0" borderId="3" applyNumberFormat="0" applyFill="0" applyAlignment="0" applyProtection="0"/>
    <xf numFmtId="0" fontId="91" fillId="21" borderId="4"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192" fontId="16" fillId="0" borderId="0" applyFont="0" applyFill="0" applyBorder="0" applyAlignment="0" applyProtection="0"/>
    <xf numFmtId="193" fontId="16" fillId="0" borderId="0" applyFont="0" applyFill="0" applyBorder="0" applyAlignment="0" applyProtection="0"/>
    <xf numFmtId="194" fontId="17" fillId="0" borderId="0" applyFont="0" applyFill="0" applyBorder="0" applyAlignment="0" applyProtection="0"/>
    <xf numFmtId="182" fontId="11" fillId="28" borderId="5">
      <alignment/>
      <protection locked="0"/>
    </xf>
    <xf numFmtId="180" fontId="11" fillId="28" borderId="5">
      <alignment/>
      <protection locked="0"/>
    </xf>
    <xf numFmtId="181" fontId="11" fillId="28" borderId="5">
      <alignment/>
      <protection locked="0"/>
    </xf>
    <xf numFmtId="184" fontId="11" fillId="28" borderId="5">
      <alignment/>
      <protection locked="0"/>
    </xf>
    <xf numFmtId="185" fontId="11" fillId="28" borderId="5">
      <alignment/>
      <protection locked="0"/>
    </xf>
    <xf numFmtId="186" fontId="11" fillId="28" borderId="5">
      <alignment/>
      <protection locked="0"/>
    </xf>
    <xf numFmtId="187" fontId="11" fillId="29" borderId="5">
      <alignment horizontal="right"/>
      <protection locked="0"/>
    </xf>
    <xf numFmtId="188" fontId="11" fillId="29" borderId="5">
      <alignment horizontal="right"/>
      <protection locked="0"/>
    </xf>
    <xf numFmtId="0" fontId="11" fillId="30" borderId="5">
      <alignment horizontal="left"/>
      <protection locked="0"/>
    </xf>
    <xf numFmtId="49" fontId="11" fillId="31" borderId="5">
      <alignment horizontal="left" vertical="top" wrapText="1"/>
      <protection locked="0"/>
    </xf>
    <xf numFmtId="189" fontId="11" fillId="28" borderId="5">
      <alignment/>
      <protection locked="0"/>
    </xf>
    <xf numFmtId="190" fontId="11" fillId="28" borderId="5">
      <alignment/>
      <protection locked="0"/>
    </xf>
    <xf numFmtId="191" fontId="11" fillId="28" borderId="5">
      <alignment/>
      <protection locked="0"/>
    </xf>
    <xf numFmtId="49" fontId="11" fillId="31" borderId="5">
      <alignment horizontal="left"/>
      <protection locked="0"/>
    </xf>
    <xf numFmtId="195" fontId="11" fillId="28" borderId="5">
      <alignment horizontal="left" indent="1"/>
      <protection locked="0"/>
    </xf>
    <xf numFmtId="14" fontId="18" fillId="0" borderId="0">
      <alignment horizontal="right"/>
      <protection/>
    </xf>
    <xf numFmtId="196"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70" fontId="0" fillId="0" borderId="0" applyFont="0" applyFill="0" applyBorder="0" applyAlignment="0" applyProtection="0"/>
    <xf numFmtId="199" fontId="9" fillId="0" borderId="0">
      <alignment/>
      <protection/>
    </xf>
    <xf numFmtId="22" fontId="0" fillId="0" borderId="0">
      <alignment/>
      <protection/>
    </xf>
    <xf numFmtId="20" fontId="0" fillId="0" borderId="0">
      <alignment/>
      <protection/>
    </xf>
    <xf numFmtId="0" fontId="19" fillId="32" borderId="0">
      <alignment vertical="center"/>
      <protection/>
    </xf>
    <xf numFmtId="0" fontId="20" fillId="33" borderId="0">
      <alignment vertical="center"/>
      <protection/>
    </xf>
    <xf numFmtId="0" fontId="12" fillId="0" borderId="0">
      <alignment/>
      <protection/>
    </xf>
    <xf numFmtId="200" fontId="21" fillId="0" borderId="0">
      <alignment/>
      <protection/>
    </xf>
    <xf numFmtId="201"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4" fontId="0" fillId="0" borderId="0">
      <alignment/>
      <protection/>
    </xf>
    <xf numFmtId="205" fontId="0" fillId="0" borderId="0" applyFont="0" applyFill="0" applyBorder="0" applyAlignment="0" applyProtection="0"/>
    <xf numFmtId="206" fontId="0" fillId="0" borderId="0" applyFont="0" applyFill="0" applyBorder="0" applyAlignment="0" applyProtection="0"/>
    <xf numFmtId="0" fontId="11" fillId="0" borderId="0">
      <alignment/>
      <protection/>
    </xf>
    <xf numFmtId="0" fontId="23" fillId="0" borderId="0">
      <alignment/>
      <protection/>
    </xf>
    <xf numFmtId="0" fontId="24" fillId="0" borderId="0">
      <alignment horizontal="center"/>
      <protection/>
    </xf>
    <xf numFmtId="200" fontId="22" fillId="0" borderId="0">
      <alignment/>
      <protection/>
    </xf>
    <xf numFmtId="171" fontId="0" fillId="0" borderId="0" applyFont="0" applyFill="0" applyBorder="0" applyAlignment="0" applyProtection="0"/>
    <xf numFmtId="207" fontId="25" fillId="0" borderId="0" applyFont="0" applyFill="0" applyBorder="0" applyAlignment="0" applyProtection="0"/>
    <xf numFmtId="178"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8" fontId="0" fillId="0" borderId="6" applyFont="0" applyFill="0" applyBorder="0" applyAlignment="0" applyProtection="0"/>
    <xf numFmtId="0" fontId="92" fillId="34" borderId="0" applyNumberFormat="0" applyBorder="0" applyAlignment="0" applyProtection="0"/>
    <xf numFmtId="3" fontId="18" fillId="0" borderId="0" applyFont="0" applyFill="0" applyBorder="0" applyAlignment="0" applyProtection="0"/>
    <xf numFmtId="0" fontId="0" fillId="0" borderId="0">
      <alignment/>
      <protection/>
    </xf>
    <xf numFmtId="0" fontId="0" fillId="0" borderId="0">
      <alignment/>
      <protection/>
    </xf>
    <xf numFmtId="0" fontId="13" fillId="0" borderId="0">
      <alignment/>
      <protection/>
    </xf>
    <xf numFmtId="0" fontId="0" fillId="35" borderId="7" applyNumberFormat="0" applyFont="0" applyAlignment="0" applyProtection="0"/>
    <xf numFmtId="210" fontId="0" fillId="0" borderId="0">
      <alignment/>
      <protection/>
    </xf>
    <xf numFmtId="174" fontId="26" fillId="0" borderId="0" applyFont="0" applyFill="0" applyBorder="0" applyAlignment="0" applyProtection="0"/>
    <xf numFmtId="0" fontId="93" fillId="20" borderId="8" applyNumberFormat="0" applyAlignment="0" applyProtection="0"/>
    <xf numFmtId="9" fontId="16" fillId="0" borderId="0" applyFont="0" applyFill="0" applyBorder="0" applyAlignment="0" applyProtection="0"/>
    <xf numFmtId="173" fontId="16" fillId="0" borderId="0" applyFont="0" applyFill="0" applyBorder="0" applyAlignment="0" applyProtection="0"/>
    <xf numFmtId="10" fontId="16" fillId="0" borderId="0" applyFont="0" applyFill="0" applyBorder="0" applyAlignment="0" applyProtection="0"/>
    <xf numFmtId="10" fontId="17"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4" fontId="27" fillId="36" borderId="9" applyNumberFormat="0" applyProtection="0">
      <alignment horizontal="left" vertical="center" indent="1"/>
    </xf>
    <xf numFmtId="0" fontId="0" fillId="0" borderId="0" applyNumberFormat="0" applyFont="0" applyFill="0" applyBorder="0" applyAlignment="0">
      <protection locked="0"/>
    </xf>
    <xf numFmtId="200" fontId="28" fillId="0" borderId="0">
      <alignment/>
      <protection/>
    </xf>
    <xf numFmtId="0" fontId="29" fillId="0" borderId="0">
      <alignment/>
      <protection/>
    </xf>
    <xf numFmtId="0" fontId="6" fillId="0" borderId="10" applyNumberFormat="0" applyAlignment="0" applyProtection="0"/>
    <xf numFmtId="211" fontId="0" fillId="0" borderId="0">
      <alignment horizontal="left"/>
      <protection/>
    </xf>
    <xf numFmtId="0" fontId="30" fillId="33" borderId="11">
      <alignment/>
      <protection locked="0"/>
    </xf>
    <xf numFmtId="0" fontId="94" fillId="0" borderId="0" applyNumberFormat="0" applyFill="0" applyBorder="0" applyAlignment="0" applyProtection="0"/>
    <xf numFmtId="0" fontId="95" fillId="0" borderId="0" applyNumberFormat="0" applyFill="0" applyBorder="0" applyAlignment="0" applyProtection="0"/>
    <xf numFmtId="0" fontId="31" fillId="0" borderId="0">
      <alignment horizontal="center"/>
      <protection/>
    </xf>
    <xf numFmtId="15" fontId="31" fillId="0" borderId="0">
      <alignment horizontal="center"/>
      <protection/>
    </xf>
    <xf numFmtId="0" fontId="1" fillId="0" borderId="12" applyNumberFormat="0" applyAlignment="0" applyProtection="0"/>
    <xf numFmtId="0" fontId="32" fillId="33" borderId="0">
      <alignment/>
      <protection/>
    </xf>
    <xf numFmtId="0" fontId="33" fillId="0" borderId="0">
      <alignment/>
      <protection/>
    </xf>
    <xf numFmtId="0" fontId="96" fillId="0" borderId="0" applyNumberFormat="0" applyFill="0" applyBorder="0" applyAlignment="0" applyProtection="0"/>
    <xf numFmtId="0" fontId="97" fillId="0" borderId="13" applyNumberFormat="0" applyFill="0" applyAlignment="0" applyProtection="0"/>
    <xf numFmtId="0" fontId="98" fillId="0" borderId="14" applyNumberFormat="0" applyFill="0" applyAlignment="0" applyProtection="0"/>
    <xf numFmtId="0" fontId="99" fillId="0" borderId="15" applyNumberFormat="0" applyFill="0" applyAlignment="0" applyProtection="0"/>
    <xf numFmtId="0" fontId="99" fillId="0" borderId="0" applyNumberFormat="0" applyFill="0" applyBorder="0" applyAlignment="0" applyProtection="0"/>
    <xf numFmtId="0" fontId="100" fillId="0" borderId="16" applyNumberFormat="0" applyFill="0" applyAlignment="0" applyProtection="0"/>
    <xf numFmtId="0" fontId="101" fillId="37" borderId="0" applyNumberFormat="0" applyBorder="0" applyAlignment="0" applyProtection="0"/>
    <xf numFmtId="0" fontId="102" fillId="38" borderId="0" applyNumberFormat="0" applyBorder="0" applyAlignment="0" applyProtection="0"/>
    <xf numFmtId="170" fontId="0" fillId="0" borderId="0" applyFont="0" applyFill="0" applyBorder="0" applyAlignment="0" applyProtection="0"/>
    <xf numFmtId="212" fontId="0" fillId="0" borderId="0" applyFont="0" applyFill="0" applyBorder="0" applyAlignment="0" applyProtection="0"/>
    <xf numFmtId="168" fontId="0" fillId="0" borderId="0" applyFont="0" applyFill="0" applyBorder="0" applyAlignment="0" applyProtection="0"/>
  </cellStyleXfs>
  <cellXfs count="937">
    <xf numFmtId="0" fontId="0" fillId="0" borderId="0" xfId="0" applyAlignment="1">
      <alignment/>
    </xf>
    <xf numFmtId="0" fontId="1" fillId="0" borderId="0" xfId="0" applyFont="1" applyAlignment="1">
      <alignment/>
    </xf>
    <xf numFmtId="0" fontId="6" fillId="0" borderId="0" xfId="0" applyFont="1" applyAlignment="1">
      <alignment/>
    </xf>
    <xf numFmtId="0" fontId="0" fillId="0" borderId="0" xfId="0" applyFont="1" applyFill="1" applyAlignment="1">
      <alignment/>
    </xf>
    <xf numFmtId="0" fontId="1" fillId="0" borderId="0" xfId="0" applyFont="1" applyFill="1" applyAlignment="1">
      <alignment/>
    </xf>
    <xf numFmtId="3" fontId="4" fillId="0" borderId="0" xfId="0" applyNumberFormat="1" applyFont="1" applyAlignment="1">
      <alignment/>
    </xf>
    <xf numFmtId="3" fontId="1" fillId="0" borderId="0" xfId="0" applyNumberFormat="1" applyFont="1" applyAlignment="1">
      <alignment/>
    </xf>
    <xf numFmtId="3" fontId="4" fillId="0" borderId="0" xfId="0" applyNumberFormat="1" applyFont="1" applyFill="1" applyAlignment="1">
      <alignment/>
    </xf>
    <xf numFmtId="3" fontId="0" fillId="0" borderId="0" xfId="0" applyNumberFormat="1" applyFont="1" applyAlignment="1">
      <alignment/>
    </xf>
    <xf numFmtId="3" fontId="0" fillId="0" borderId="0" xfId="0" applyNumberFormat="1" applyFont="1" applyFill="1" applyAlignment="1">
      <alignment/>
    </xf>
    <xf numFmtId="3" fontId="1" fillId="0" borderId="0" xfId="0" applyNumberFormat="1" applyFont="1" applyFill="1" applyAlignment="1">
      <alignment/>
    </xf>
    <xf numFmtId="3" fontId="0" fillId="0" borderId="0" xfId="0" applyNumberFormat="1" applyFont="1" applyFill="1" applyAlignment="1">
      <alignment horizontal="left"/>
    </xf>
    <xf numFmtId="0" fontId="0" fillId="0" borderId="0" xfId="0" applyFont="1" applyAlignment="1">
      <alignment/>
    </xf>
    <xf numFmtId="0" fontId="4" fillId="0" borderId="0" xfId="0" applyNumberFormat="1" applyFont="1" applyFill="1" applyAlignment="1">
      <alignment/>
    </xf>
    <xf numFmtId="0" fontId="0" fillId="0" borderId="0" xfId="0" applyFont="1" applyFill="1" applyAlignment="1">
      <alignment vertical="center"/>
    </xf>
    <xf numFmtId="0" fontId="7" fillId="0" borderId="0" xfId="0" applyFont="1" applyAlignment="1">
      <alignment/>
    </xf>
    <xf numFmtId="0" fontId="10" fillId="0" borderId="0" xfId="0" applyFont="1" applyAlignment="1">
      <alignment/>
    </xf>
    <xf numFmtId="3" fontId="10" fillId="0" borderId="0" xfId="0" applyNumberFormat="1" applyFont="1" applyAlignment="1">
      <alignment/>
    </xf>
    <xf numFmtId="0" fontId="0" fillId="0" borderId="0" xfId="0" applyFont="1" applyBorder="1" applyAlignment="1">
      <alignment/>
    </xf>
    <xf numFmtId="3" fontId="10" fillId="0" borderId="0" xfId="0" applyNumberFormat="1" applyFont="1" applyFill="1" applyBorder="1" applyAlignment="1">
      <alignment/>
    </xf>
    <xf numFmtId="3" fontId="14" fillId="0" borderId="0" xfId="0" applyNumberFormat="1" applyFont="1" applyFill="1" applyAlignment="1">
      <alignment/>
    </xf>
    <xf numFmtId="0" fontId="10" fillId="0" borderId="0" xfId="0" applyFont="1" applyFill="1" applyAlignment="1">
      <alignment vertical="center"/>
    </xf>
    <xf numFmtId="3" fontId="10" fillId="0" borderId="0" xfId="0" applyNumberFormat="1" applyFont="1" applyFill="1" applyAlignment="1">
      <alignment/>
    </xf>
    <xf numFmtId="3" fontId="6" fillId="0" borderId="0" xfId="0" applyNumberFormat="1" applyFont="1" applyFill="1" applyBorder="1" applyAlignment="1">
      <alignment/>
    </xf>
    <xf numFmtId="3" fontId="1" fillId="0" borderId="0" xfId="109"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Alignment="1">
      <alignment/>
    </xf>
    <xf numFmtId="3" fontId="34"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lignment/>
    </xf>
    <xf numFmtId="3" fontId="4" fillId="0" borderId="0" xfId="0" applyNumberFormat="1" applyFont="1" applyAlignment="1">
      <alignment/>
    </xf>
    <xf numFmtId="3" fontId="1" fillId="0" borderId="0" xfId="0" applyNumberFormat="1" applyFont="1" applyAlignment="1">
      <alignment/>
    </xf>
    <xf numFmtId="0" fontId="0" fillId="0" borderId="0" xfId="0" applyNumberFormat="1" applyFont="1" applyAlignment="1">
      <alignment vertical="center"/>
    </xf>
    <xf numFmtId="3" fontId="4"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3" fontId="1" fillId="0" borderId="0" xfId="0" applyNumberFormat="1" applyFont="1" applyFill="1" applyAlignment="1">
      <alignment/>
    </xf>
    <xf numFmtId="0" fontId="0" fillId="0" borderId="0" xfId="0" applyNumberFormat="1" applyFont="1" applyBorder="1" applyAlignment="1">
      <alignment vertical="center"/>
    </xf>
    <xf numFmtId="3" fontId="1" fillId="0"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quotePrefix="1">
      <alignment/>
    </xf>
    <xf numFmtId="0" fontId="0" fillId="0" borderId="0" xfId="0" applyNumberFormat="1" applyFont="1" applyAlignment="1">
      <alignment vertical="center"/>
    </xf>
    <xf numFmtId="0" fontId="0"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16" fontId="0" fillId="0" borderId="0" xfId="0" applyNumberFormat="1" applyFont="1" applyFill="1" applyBorder="1" applyAlignment="1">
      <alignment/>
    </xf>
    <xf numFmtId="175" fontId="1" fillId="0" borderId="0" xfId="0" applyNumberFormat="1" applyFont="1" applyFill="1" applyBorder="1" applyAlignment="1">
      <alignment horizontal="center" vertical="center"/>
    </xf>
    <xf numFmtId="3" fontId="10" fillId="0" borderId="0" xfId="0" applyNumberFormat="1" applyFont="1" applyFill="1" applyBorder="1" applyAlignment="1">
      <alignment/>
    </xf>
    <xf numFmtId="0" fontId="6" fillId="0" borderId="0" xfId="0" applyFont="1" applyFill="1" applyBorder="1" applyAlignment="1">
      <alignment/>
    </xf>
    <xf numFmtId="3" fontId="6" fillId="0" borderId="0" xfId="0" applyNumberFormat="1" applyFont="1" applyFill="1" applyBorder="1" applyAlignment="1">
      <alignment/>
    </xf>
    <xf numFmtId="3" fontId="6" fillId="0" borderId="0" xfId="109" applyNumberFormat="1" applyFont="1" applyFill="1" applyBorder="1" applyAlignment="1">
      <alignment/>
    </xf>
    <xf numFmtId="3" fontId="1" fillId="0" borderId="0" xfId="109"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3" fontId="6" fillId="0" borderId="0" xfId="109" applyNumberFormat="1" applyFont="1" applyFill="1" applyBorder="1" applyAlignment="1">
      <alignment vertical="center"/>
    </xf>
    <xf numFmtId="3" fontId="10" fillId="0" borderId="0" xfId="109" applyNumberFormat="1" applyFont="1" applyFill="1" applyBorder="1" applyAlignment="1">
      <alignment/>
    </xf>
    <xf numFmtId="0" fontId="6" fillId="0" borderId="0" xfId="0" applyFont="1" applyFill="1" applyBorder="1" applyAlignment="1">
      <alignment vertical="center"/>
    </xf>
    <xf numFmtId="3" fontId="0" fillId="0" borderId="0" xfId="109" applyNumberFormat="1" applyFont="1" applyFill="1" applyBorder="1" applyAlignment="1">
      <alignment/>
    </xf>
    <xf numFmtId="3" fontId="1" fillId="0" borderId="0" xfId="109" applyNumberFormat="1" applyFont="1" applyFill="1" applyBorder="1" applyAlignment="1">
      <alignment vertical="center"/>
    </xf>
    <xf numFmtId="0" fontId="0" fillId="0" borderId="0" xfId="0" applyFont="1" applyFill="1" applyBorder="1" applyAlignment="1">
      <alignment vertical="center"/>
    </xf>
    <xf numFmtId="3" fontId="0" fillId="0" borderId="0" xfId="109"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xf>
    <xf numFmtId="172" fontId="0" fillId="0" borderId="0" xfId="109" applyNumberFormat="1" applyFont="1" applyFill="1" applyBorder="1" applyAlignment="1">
      <alignment/>
    </xf>
    <xf numFmtId="0" fontId="0" fillId="0" borderId="0" xfId="0" applyFont="1" applyBorder="1" applyAlignment="1">
      <alignment/>
    </xf>
    <xf numFmtId="3" fontId="0"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0" xfId="0" applyNumberFormat="1" applyFont="1" applyFill="1" applyBorder="1" applyAlignment="1">
      <alignment/>
    </xf>
    <xf numFmtId="3" fontId="8" fillId="0" borderId="0" xfId="0" applyNumberFormat="1" applyFont="1" applyBorder="1" applyAlignment="1">
      <alignment/>
    </xf>
    <xf numFmtId="3" fontId="1" fillId="33" borderId="0" xfId="0" applyNumberFormat="1" applyFont="1" applyFill="1" applyBorder="1" applyAlignment="1">
      <alignment/>
    </xf>
    <xf numFmtId="3" fontId="1" fillId="33" borderId="17" xfId="0" applyNumberFormat="1" applyFont="1" applyFill="1" applyBorder="1" applyAlignment="1">
      <alignment/>
    </xf>
    <xf numFmtId="3" fontId="0" fillId="0" borderId="0" xfId="0" applyNumberFormat="1" applyFont="1" applyBorder="1" applyAlignment="1">
      <alignment/>
    </xf>
    <xf numFmtId="3" fontId="0" fillId="0" borderId="17" xfId="0" applyNumberFormat="1" applyFont="1" applyBorder="1" applyAlignment="1">
      <alignment/>
    </xf>
    <xf numFmtId="3" fontId="0" fillId="0" borderId="17" xfId="0" applyNumberFormat="1" applyFont="1" applyFill="1" applyBorder="1" applyAlignment="1">
      <alignment/>
    </xf>
    <xf numFmtId="3" fontId="1" fillId="33" borderId="18" xfId="0" applyNumberFormat="1" applyFont="1" applyFill="1" applyBorder="1" applyAlignment="1">
      <alignment/>
    </xf>
    <xf numFmtId="3" fontId="10" fillId="0" borderId="18" xfId="0" applyNumberFormat="1" applyFont="1" applyFill="1" applyBorder="1" applyAlignment="1">
      <alignment/>
    </xf>
    <xf numFmtId="3" fontId="1" fillId="0" borderId="0" xfId="0" applyNumberFormat="1" applyFont="1" applyFill="1" applyBorder="1" applyAlignment="1">
      <alignment horizontal="center"/>
    </xf>
    <xf numFmtId="3" fontId="1" fillId="0" borderId="19" xfId="0" applyNumberFormat="1" applyFont="1" applyFill="1" applyBorder="1" applyAlignment="1">
      <alignment/>
    </xf>
    <xf numFmtId="3" fontId="1" fillId="0" borderId="17" xfId="0" applyNumberFormat="1" applyFont="1" applyFill="1" applyBorder="1" applyAlignment="1">
      <alignment/>
    </xf>
    <xf numFmtId="3" fontId="0" fillId="0" borderId="19" xfId="0" applyNumberFormat="1" applyFont="1" applyFill="1" applyBorder="1" applyAlignment="1">
      <alignment/>
    </xf>
    <xf numFmtId="3" fontId="0" fillId="0" borderId="17" xfId="0" applyNumberFormat="1" applyFont="1" applyFill="1" applyBorder="1" applyAlignment="1">
      <alignment/>
    </xf>
    <xf numFmtId="3" fontId="1" fillId="33" borderId="0" xfId="109" applyNumberFormat="1" applyFont="1" applyFill="1" applyBorder="1" applyAlignment="1">
      <alignment/>
    </xf>
    <xf numFmtId="3" fontId="1" fillId="33" borderId="17" xfId="109" applyNumberFormat="1" applyFont="1" applyFill="1" applyBorder="1" applyAlignment="1">
      <alignment/>
    </xf>
    <xf numFmtId="0" fontId="0" fillId="0" borderId="19" xfId="0" applyFont="1" applyFill="1" applyBorder="1" applyAlignment="1">
      <alignment/>
    </xf>
    <xf numFmtId="3" fontId="8" fillId="0" borderId="0" xfId="109" applyNumberFormat="1" applyFont="1" applyFill="1" applyBorder="1" applyAlignment="1">
      <alignment vertical="center"/>
    </xf>
    <xf numFmtId="0" fontId="0" fillId="0" borderId="0" xfId="0" applyFont="1" applyBorder="1" applyAlignment="1">
      <alignment/>
    </xf>
    <xf numFmtId="0" fontId="0" fillId="0" borderId="19" xfId="0" applyFont="1" applyFill="1" applyBorder="1" applyAlignment="1">
      <alignment/>
    </xf>
    <xf numFmtId="3" fontId="1" fillId="33"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33" borderId="17" xfId="0" applyNumberFormat="1" applyFont="1" applyFill="1" applyBorder="1" applyAlignment="1">
      <alignment horizontal="right"/>
    </xf>
    <xf numFmtId="0" fontId="0" fillId="0" borderId="17" xfId="0" applyFont="1" applyFill="1" applyBorder="1" applyAlignment="1">
      <alignment/>
    </xf>
    <xf numFmtId="3" fontId="1" fillId="33" borderId="0" xfId="109" applyNumberFormat="1" applyFont="1" applyFill="1" applyBorder="1" applyAlignment="1">
      <alignment horizontal="right"/>
    </xf>
    <xf numFmtId="3" fontId="1" fillId="33" borderId="17" xfId="109" applyNumberFormat="1" applyFont="1" applyFill="1" applyBorder="1" applyAlignment="1">
      <alignment horizontal="right"/>
    </xf>
    <xf numFmtId="0" fontId="5"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right"/>
    </xf>
    <xf numFmtId="0" fontId="0" fillId="0" borderId="17" xfId="0" applyFont="1" applyFill="1" applyBorder="1" applyAlignment="1">
      <alignment/>
    </xf>
    <xf numFmtId="0" fontId="0" fillId="0" borderId="0" xfId="0" applyFont="1" applyBorder="1" applyAlignment="1">
      <alignment/>
    </xf>
    <xf numFmtId="0" fontId="0" fillId="0" borderId="17" xfId="0" applyFont="1" applyFill="1" applyBorder="1" applyAlignment="1">
      <alignment/>
    </xf>
    <xf numFmtId="0" fontId="0" fillId="0" borderId="19" xfId="0" applyFont="1" applyFill="1" applyBorder="1" applyAlignment="1">
      <alignment/>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0" fontId="0" fillId="0" borderId="0" xfId="0" applyFont="1" applyFill="1" applyBorder="1" applyAlignment="1">
      <alignment vertical="center"/>
    </xf>
    <xf numFmtId="0" fontId="10" fillId="0" borderId="0" xfId="0" applyFont="1" applyFill="1" applyBorder="1" applyAlignment="1">
      <alignment vertical="center"/>
    </xf>
    <xf numFmtId="3" fontId="10" fillId="0" borderId="0" xfId="0" applyNumberFormat="1" applyFont="1" applyFill="1" applyBorder="1" applyAlignment="1">
      <alignment vertical="center"/>
    </xf>
    <xf numFmtId="0" fontId="0" fillId="0" borderId="17" xfId="0" applyNumberFormat="1" applyFont="1" applyBorder="1" applyAlignment="1">
      <alignment vertical="center"/>
    </xf>
    <xf numFmtId="3" fontId="1" fillId="33" borderId="18" xfId="0" applyNumberFormat="1" applyFont="1" applyFill="1" applyBorder="1" applyAlignment="1">
      <alignment vertical="center"/>
    </xf>
    <xf numFmtId="3" fontId="1" fillId="33" borderId="20" xfId="0" applyNumberFormat="1" applyFont="1" applyFill="1" applyBorder="1" applyAlignment="1">
      <alignment vertical="center"/>
    </xf>
    <xf numFmtId="3" fontId="0" fillId="0" borderId="0" xfId="109" applyNumberFormat="1" applyFont="1" applyFill="1" applyBorder="1" applyAlignment="1">
      <alignment horizontal="right"/>
    </xf>
    <xf numFmtId="0" fontId="1" fillId="0" borderId="0" xfId="0" applyNumberFormat="1" applyFont="1" applyFill="1" applyBorder="1" applyAlignment="1">
      <alignment horizontal="center" vertical="center" wrapText="1"/>
    </xf>
    <xf numFmtId="3" fontId="0" fillId="0" borderId="0" xfId="109" applyNumberFormat="1" applyFont="1" applyFill="1" applyBorder="1" applyAlignment="1">
      <alignment vertical="center"/>
    </xf>
    <xf numFmtId="3" fontId="10" fillId="0" borderId="0" xfId="109" applyNumberFormat="1" applyFont="1" applyFill="1" applyBorder="1" applyAlignment="1">
      <alignment vertical="center"/>
    </xf>
    <xf numFmtId="0" fontId="1" fillId="0" borderId="0" xfId="0" applyNumberFormat="1" applyFont="1" applyFill="1" applyBorder="1" applyAlignment="1">
      <alignment horizontal="center" vertical="center" wrapText="1"/>
    </xf>
    <xf numFmtId="0" fontId="0" fillId="0" borderId="17" xfId="0" applyFont="1" applyBorder="1" applyAlignment="1">
      <alignment/>
    </xf>
    <xf numFmtId="3" fontId="0" fillId="0" borderId="0" xfId="0" applyNumberFormat="1" applyFont="1" applyBorder="1" applyAlignment="1">
      <alignment/>
    </xf>
    <xf numFmtId="3" fontId="1" fillId="33" borderId="18" xfId="0" applyNumberFormat="1" applyFont="1" applyFill="1" applyBorder="1" applyAlignment="1">
      <alignment/>
    </xf>
    <xf numFmtId="3" fontId="1" fillId="33" borderId="20" xfId="0" applyNumberFormat="1" applyFont="1" applyFill="1" applyBorder="1" applyAlignment="1">
      <alignment/>
    </xf>
    <xf numFmtId="3" fontId="7" fillId="0" borderId="0" xfId="0" applyNumberFormat="1" applyFont="1" applyAlignment="1">
      <alignment/>
    </xf>
    <xf numFmtId="3" fontId="35" fillId="0" borderId="0" xfId="0" applyNumberFormat="1" applyFont="1" applyAlignment="1">
      <alignment/>
    </xf>
    <xf numFmtId="0" fontId="7" fillId="0" borderId="0" xfId="0" applyFont="1" applyFill="1" applyBorder="1" applyAlignment="1">
      <alignment/>
    </xf>
    <xf numFmtId="0" fontId="0" fillId="0" borderId="0" xfId="0" applyFont="1" applyFill="1" applyBorder="1" applyAlignment="1">
      <alignment horizontal="left"/>
    </xf>
    <xf numFmtId="3" fontId="6" fillId="0" borderId="17" xfId="0" applyNumberFormat="1" applyFont="1" applyFill="1" applyBorder="1" applyAlignment="1">
      <alignment/>
    </xf>
    <xf numFmtId="3" fontId="6" fillId="0" borderId="17" xfId="0" applyNumberFormat="1" applyFont="1" applyFill="1" applyBorder="1" applyAlignment="1">
      <alignment vertical="center"/>
    </xf>
    <xf numFmtId="3" fontId="1" fillId="0" borderId="17" xfId="0" applyNumberFormat="1" applyFont="1" applyFill="1" applyBorder="1" applyAlignment="1">
      <alignment vertical="center"/>
    </xf>
    <xf numFmtId="3" fontId="6" fillId="0" borderId="20" xfId="0" applyNumberFormat="1" applyFont="1" applyFill="1" applyBorder="1" applyAlignment="1">
      <alignment vertical="center"/>
    </xf>
    <xf numFmtId="175" fontId="4" fillId="39" borderId="21" xfId="0" applyNumberFormat="1" applyFont="1" applyFill="1" applyBorder="1" applyAlignment="1">
      <alignment horizontal="center" vertical="center"/>
    </xf>
    <xf numFmtId="175" fontId="0" fillId="0" borderId="22" xfId="0" applyNumberFormat="1" applyFont="1" applyFill="1" applyBorder="1" applyAlignment="1">
      <alignment horizontal="left"/>
    </xf>
    <xf numFmtId="175" fontId="10" fillId="0" borderId="22" xfId="0" applyNumberFormat="1" applyFont="1" applyFill="1" applyBorder="1" applyAlignment="1">
      <alignment horizontal="left"/>
    </xf>
    <xf numFmtId="0" fontId="6" fillId="0" borderId="22" xfId="0" applyFont="1" applyFill="1" applyBorder="1" applyAlignment="1">
      <alignment/>
    </xf>
    <xf numFmtId="0" fontId="0" fillId="0" borderId="22" xfId="0" applyFont="1" applyFill="1" applyBorder="1" applyAlignment="1">
      <alignment/>
    </xf>
    <xf numFmtId="0" fontId="1" fillId="0" borderId="22" xfId="0" applyFont="1" applyFill="1" applyBorder="1" applyAlignment="1">
      <alignment/>
    </xf>
    <xf numFmtId="0" fontId="6" fillId="0" borderId="22" xfId="0" applyFont="1" applyFill="1" applyBorder="1" applyAlignment="1">
      <alignment vertical="center"/>
    </xf>
    <xf numFmtId="0" fontId="0" fillId="0" borderId="22" xfId="0" applyFont="1" applyFill="1" applyBorder="1" applyAlignment="1">
      <alignment/>
    </xf>
    <xf numFmtId="0" fontId="0" fillId="0" borderId="22" xfId="0" applyFont="1" applyFill="1" applyBorder="1" applyAlignment="1">
      <alignment vertical="center"/>
    </xf>
    <xf numFmtId="0" fontId="1" fillId="0" borderId="22" xfId="0" applyFont="1" applyFill="1" applyBorder="1" applyAlignment="1">
      <alignment vertical="center"/>
    </xf>
    <xf numFmtId="0" fontId="6" fillId="0" borderId="23" xfId="0" applyFont="1" applyFill="1" applyBorder="1" applyAlignment="1">
      <alignment vertical="center"/>
    </xf>
    <xf numFmtId="175" fontId="1" fillId="0" borderId="19" xfId="0" applyNumberFormat="1" applyFont="1" applyFill="1" applyBorder="1" applyAlignment="1">
      <alignment horizontal="center" vertical="center"/>
    </xf>
    <xf numFmtId="175" fontId="1" fillId="0" borderId="17" xfId="0" applyNumberFormat="1" applyFont="1" applyFill="1" applyBorder="1" applyAlignment="1">
      <alignment horizontal="center" vertical="center"/>
    </xf>
    <xf numFmtId="3" fontId="1" fillId="0" borderId="19" xfId="109" applyNumberFormat="1" applyFont="1" applyFill="1" applyBorder="1" applyAlignment="1">
      <alignment/>
    </xf>
    <xf numFmtId="3" fontId="1" fillId="0" borderId="17" xfId="109" applyNumberFormat="1" applyFont="1" applyFill="1" applyBorder="1" applyAlignment="1">
      <alignment/>
    </xf>
    <xf numFmtId="3" fontId="6" fillId="0" borderId="19" xfId="109" applyNumberFormat="1" applyFont="1" applyFill="1" applyBorder="1" applyAlignment="1">
      <alignment vertical="center"/>
    </xf>
    <xf numFmtId="3" fontId="1" fillId="0" borderId="19" xfId="109" applyNumberFormat="1" applyFont="1" applyFill="1" applyBorder="1" applyAlignment="1">
      <alignment vertical="center"/>
    </xf>
    <xf numFmtId="3" fontId="6" fillId="0" borderId="19" xfId="0" applyNumberFormat="1" applyFont="1" applyFill="1" applyBorder="1" applyAlignment="1">
      <alignment/>
    </xf>
    <xf numFmtId="3" fontId="1" fillId="0" borderId="18" xfId="109" applyNumberFormat="1" applyFont="1" applyFill="1" applyBorder="1" applyAlignment="1">
      <alignment vertical="center"/>
    </xf>
    <xf numFmtId="3" fontId="0" fillId="0" borderId="19" xfId="109" applyNumberFormat="1" applyFont="1" applyFill="1" applyBorder="1" applyAlignment="1">
      <alignment/>
    </xf>
    <xf numFmtId="3" fontId="1" fillId="0" borderId="24" xfId="109" applyNumberFormat="1" applyFont="1" applyFill="1" applyBorder="1" applyAlignment="1">
      <alignment vertical="center"/>
    </xf>
    <xf numFmtId="3" fontId="10" fillId="0" borderId="18" xfId="109" applyNumberFormat="1" applyFont="1" applyFill="1" applyBorder="1" applyAlignment="1">
      <alignment vertical="center"/>
    </xf>
    <xf numFmtId="0" fontId="6" fillId="0" borderId="17" xfId="0" applyFont="1" applyFill="1" applyBorder="1" applyAlignment="1">
      <alignment vertical="center"/>
    </xf>
    <xf numFmtId="3" fontId="0" fillId="0" borderId="18" xfId="109" applyNumberFormat="1" applyFont="1" applyFill="1" applyBorder="1" applyAlignment="1">
      <alignment/>
    </xf>
    <xf numFmtId="3" fontId="6" fillId="0" borderId="18" xfId="109" applyNumberFormat="1" applyFont="1" applyFill="1" applyBorder="1" applyAlignment="1">
      <alignment/>
    </xf>
    <xf numFmtId="175" fontId="0" fillId="0" borderId="22" xfId="0" applyNumberFormat="1" applyFont="1" applyFill="1" applyBorder="1" applyAlignment="1">
      <alignment horizontal="left" vertical="center"/>
    </xf>
    <xf numFmtId="0" fontId="10" fillId="0" borderId="22" xfId="0" applyFont="1" applyFill="1" applyBorder="1" applyAlignment="1">
      <alignment/>
    </xf>
    <xf numFmtId="0" fontId="0" fillId="0" borderId="22" xfId="0" applyFont="1" applyBorder="1" applyAlignment="1">
      <alignment/>
    </xf>
    <xf numFmtId="0" fontId="10" fillId="0" borderId="22" xfId="0" applyFont="1" applyFill="1" applyBorder="1" applyAlignment="1">
      <alignment vertical="center"/>
    </xf>
    <xf numFmtId="0" fontId="10" fillId="0" borderId="0" xfId="0" applyFont="1" applyFill="1" applyBorder="1" applyAlignment="1">
      <alignment/>
    </xf>
    <xf numFmtId="0" fontId="10" fillId="0" borderId="22" xfId="0" applyFont="1" applyFill="1" applyBorder="1" applyAlignment="1">
      <alignment vertical="center"/>
    </xf>
    <xf numFmtId="3" fontId="10" fillId="0" borderId="0" xfId="109" applyNumberFormat="1" applyFont="1" applyFill="1" applyBorder="1" applyAlignment="1">
      <alignment/>
    </xf>
    <xf numFmtId="3" fontId="10" fillId="0" borderId="19" xfId="109" applyNumberFormat="1" applyFont="1" applyFill="1" applyBorder="1" applyAlignment="1">
      <alignment/>
    </xf>
    <xf numFmtId="3" fontId="10" fillId="0" borderId="17" xfId="0" applyNumberFormat="1" applyFont="1" applyFill="1" applyBorder="1" applyAlignment="1">
      <alignment/>
    </xf>
    <xf numFmtId="0" fontId="10" fillId="0" borderId="23" xfId="0" applyFont="1" applyFill="1" applyBorder="1" applyAlignment="1">
      <alignment/>
    </xf>
    <xf numFmtId="0" fontId="0" fillId="0" borderId="0" xfId="0" applyFont="1" applyFill="1" applyBorder="1" applyAlignment="1">
      <alignment/>
    </xf>
    <xf numFmtId="3" fontId="36" fillId="0" borderId="17" xfId="0" applyNumberFormat="1" applyFont="1" applyFill="1" applyBorder="1" applyAlignment="1">
      <alignment/>
    </xf>
    <xf numFmtId="3" fontId="36" fillId="0" borderId="0" xfId="0" applyNumberFormat="1" applyFont="1" applyFill="1" applyBorder="1" applyAlignment="1">
      <alignment/>
    </xf>
    <xf numFmtId="3" fontId="1" fillId="0" borderId="19" xfId="109" applyNumberFormat="1" applyFont="1" applyFill="1" applyBorder="1" applyAlignment="1">
      <alignment/>
    </xf>
    <xf numFmtId="0" fontId="0" fillId="0" borderId="22" xfId="0" applyFont="1" applyFill="1" applyBorder="1" applyAlignment="1">
      <alignment/>
    </xf>
    <xf numFmtId="215" fontId="0" fillId="0" borderId="0" xfId="0" applyNumberFormat="1" applyFont="1" applyFill="1" applyBorder="1" applyAlignment="1">
      <alignment/>
    </xf>
    <xf numFmtId="3" fontId="103" fillId="0" borderId="0" xfId="109" applyNumberFormat="1" applyFont="1" applyFill="1" applyBorder="1" applyAlignment="1">
      <alignment/>
    </xf>
    <xf numFmtId="3" fontId="103" fillId="0" borderId="0" xfId="109" applyNumberFormat="1" applyFont="1" applyFill="1" applyBorder="1" applyAlignment="1">
      <alignment horizontal="right"/>
    </xf>
    <xf numFmtId="3" fontId="103" fillId="0" borderId="0" xfId="109" applyNumberFormat="1" applyFont="1" applyFill="1" applyBorder="1" applyAlignment="1">
      <alignment vertical="center"/>
    </xf>
    <xf numFmtId="3" fontId="104" fillId="0" borderId="0" xfId="0" applyNumberFormat="1" applyFont="1" applyAlignment="1">
      <alignment/>
    </xf>
    <xf numFmtId="3" fontId="1" fillId="40" borderId="0" xfId="0" applyNumberFormat="1" applyFont="1" applyFill="1" applyBorder="1" applyAlignment="1">
      <alignment/>
    </xf>
    <xf numFmtId="3" fontId="1" fillId="40" borderId="17" xfId="0" applyNumberFormat="1" applyFont="1" applyFill="1" applyBorder="1" applyAlignment="1">
      <alignment/>
    </xf>
    <xf numFmtId="3" fontId="1" fillId="40" borderId="18" xfId="0" applyNumberFormat="1" applyFont="1" applyFill="1" applyBorder="1" applyAlignment="1">
      <alignment/>
    </xf>
    <xf numFmtId="3" fontId="1" fillId="40" borderId="20" xfId="0" applyNumberFormat="1" applyFont="1" applyFill="1" applyBorder="1" applyAlignment="1">
      <alignment/>
    </xf>
    <xf numFmtId="175" fontId="1" fillId="0" borderId="25" xfId="0" applyNumberFormat="1" applyFont="1" applyFill="1" applyBorder="1" applyAlignment="1">
      <alignment horizontal="center" vertical="center"/>
    </xf>
    <xf numFmtId="175" fontId="1" fillId="0" borderId="1" xfId="0" applyNumberFormat="1" applyFont="1" applyFill="1" applyBorder="1" applyAlignment="1">
      <alignment horizontal="center" vertical="center"/>
    </xf>
    <xf numFmtId="175" fontId="1" fillId="0" borderId="26" xfId="0" applyNumberFormat="1" applyFont="1" applyFill="1" applyBorder="1" applyAlignment="1">
      <alignment horizontal="center" vertical="center"/>
    </xf>
    <xf numFmtId="0" fontId="0" fillId="0" borderId="25" xfId="0" applyFont="1" applyFill="1" applyBorder="1" applyAlignment="1">
      <alignment/>
    </xf>
    <xf numFmtId="0" fontId="0" fillId="0" borderId="1" xfId="0" applyFont="1" applyFill="1" applyBorder="1" applyAlignment="1">
      <alignment/>
    </xf>
    <xf numFmtId="0" fontId="0" fillId="0" borderId="26" xfId="0" applyFont="1" applyFill="1" applyBorder="1" applyAlignment="1">
      <alignment/>
    </xf>
    <xf numFmtId="3" fontId="105" fillId="0" borderId="0" xfId="0" applyNumberFormat="1" applyFont="1" applyAlignment="1">
      <alignment/>
    </xf>
    <xf numFmtId="3" fontId="106" fillId="0" borderId="0" xfId="0" applyNumberFormat="1" applyFont="1" applyAlignment="1">
      <alignment/>
    </xf>
    <xf numFmtId="3" fontId="106" fillId="0" borderId="0" xfId="0" applyNumberFormat="1" applyFont="1" applyFill="1" applyAlignment="1">
      <alignment/>
    </xf>
    <xf numFmtId="3" fontId="107" fillId="0" borderId="0" xfId="0" applyNumberFormat="1" applyFont="1" applyAlignment="1">
      <alignment/>
    </xf>
    <xf numFmtId="3" fontId="108" fillId="0" borderId="0" xfId="0" applyNumberFormat="1" applyFont="1" applyAlignment="1">
      <alignment/>
    </xf>
    <xf numFmtId="3" fontId="108" fillId="0" borderId="0" xfId="0" applyNumberFormat="1" applyFont="1" applyFill="1" applyAlignment="1">
      <alignment/>
    </xf>
    <xf numFmtId="3" fontId="105" fillId="0" borderId="0" xfId="0" applyNumberFormat="1" applyFont="1" applyFill="1" applyAlignment="1">
      <alignment/>
    </xf>
    <xf numFmtId="3" fontId="109" fillId="0" borderId="1" xfId="0" applyNumberFormat="1" applyFont="1" applyFill="1" applyBorder="1" applyAlignment="1">
      <alignment horizontal="center"/>
    </xf>
    <xf numFmtId="3" fontId="109" fillId="0" borderId="0" xfId="0" applyNumberFormat="1" applyFont="1" applyFill="1" applyBorder="1" applyAlignment="1">
      <alignment horizontal="center"/>
    </xf>
    <xf numFmtId="3" fontId="106" fillId="0" borderId="0" xfId="0" applyNumberFormat="1" applyFont="1" applyBorder="1" applyAlignment="1">
      <alignment/>
    </xf>
    <xf numFmtId="3" fontId="106" fillId="0" borderId="0" xfId="0" applyNumberFormat="1" applyFont="1" applyFill="1" applyAlignment="1">
      <alignment horizontal="left"/>
    </xf>
    <xf numFmtId="3" fontId="109" fillId="0" borderId="0" xfId="0" applyNumberFormat="1" applyFont="1" applyFill="1" applyBorder="1" applyAlignment="1">
      <alignment/>
    </xf>
    <xf numFmtId="3" fontId="106" fillId="0" borderId="0" xfId="0" applyNumberFormat="1" applyFont="1" applyFill="1" applyBorder="1" applyAlignment="1">
      <alignment/>
    </xf>
    <xf numFmtId="3" fontId="106" fillId="0" borderId="17" xfId="0" applyNumberFormat="1" applyFont="1" applyBorder="1" applyAlignment="1">
      <alignment/>
    </xf>
    <xf numFmtId="3" fontId="109" fillId="0" borderId="0" xfId="0" applyNumberFormat="1" applyFont="1" applyFill="1" applyAlignment="1">
      <alignment/>
    </xf>
    <xf numFmtId="3" fontId="106" fillId="0" borderId="17" xfId="0" applyNumberFormat="1" applyFont="1" applyFill="1" applyBorder="1" applyAlignment="1">
      <alignment/>
    </xf>
    <xf numFmtId="3" fontId="110" fillId="0" borderId="0" xfId="0" applyNumberFormat="1" applyFont="1" applyFill="1" applyAlignment="1">
      <alignment/>
    </xf>
    <xf numFmtId="3" fontId="111" fillId="0" borderId="0" xfId="130" applyNumberFormat="1" applyFont="1" applyFill="1" applyBorder="1" applyAlignment="1">
      <alignment/>
    </xf>
    <xf numFmtId="3" fontId="110" fillId="0" borderId="0" xfId="0" applyNumberFormat="1" applyFont="1" applyAlignment="1">
      <alignment/>
    </xf>
    <xf numFmtId="3" fontId="109" fillId="0" borderId="17" xfId="0" applyNumberFormat="1" applyFont="1" applyFill="1" applyBorder="1" applyAlignment="1">
      <alignment/>
    </xf>
    <xf numFmtId="3" fontId="112" fillId="0" borderId="0" xfId="0" applyNumberFormat="1" applyFont="1" applyFill="1" applyAlignment="1">
      <alignment/>
    </xf>
    <xf numFmtId="3" fontId="36" fillId="0" borderId="18" xfId="0" applyNumberFormat="1" applyFont="1" applyFill="1" applyBorder="1" applyAlignment="1">
      <alignment/>
    </xf>
    <xf numFmtId="3" fontId="106" fillId="0" borderId="0" xfId="109" applyNumberFormat="1" applyFont="1" applyFill="1" applyBorder="1" applyAlignment="1">
      <alignment/>
    </xf>
    <xf numFmtId="3" fontId="113" fillId="0" borderId="0" xfId="0" applyNumberFormat="1" applyFont="1" applyBorder="1" applyAlignment="1">
      <alignment/>
    </xf>
    <xf numFmtId="3" fontId="103" fillId="0" borderId="0" xfId="0" applyNumberFormat="1" applyFont="1" applyBorder="1" applyAlignment="1">
      <alignment/>
    </xf>
    <xf numFmtId="0" fontId="103" fillId="0" borderId="0" xfId="0" applyFont="1" applyBorder="1" applyAlignment="1">
      <alignment/>
    </xf>
    <xf numFmtId="3" fontId="113" fillId="0" borderId="0" xfId="0" applyNumberFormat="1" applyFont="1" applyFill="1" applyBorder="1" applyAlignment="1">
      <alignment/>
    </xf>
    <xf numFmtId="3" fontId="113" fillId="0" borderId="19" xfId="0" applyNumberFormat="1" applyFont="1" applyFill="1" applyBorder="1" applyAlignment="1">
      <alignment/>
    </xf>
    <xf numFmtId="3" fontId="103" fillId="0" borderId="0" xfId="0" applyNumberFormat="1" applyFont="1" applyFill="1" applyBorder="1" applyAlignment="1">
      <alignment/>
    </xf>
    <xf numFmtId="3" fontId="103" fillId="0" borderId="19" xfId="0" applyNumberFormat="1" applyFont="1" applyFill="1" applyBorder="1" applyAlignment="1">
      <alignment/>
    </xf>
    <xf numFmtId="0" fontId="103" fillId="0" borderId="19" xfId="0" applyFont="1" applyFill="1" applyBorder="1" applyAlignment="1">
      <alignment/>
    </xf>
    <xf numFmtId="3" fontId="113" fillId="0" borderId="19" xfId="109" applyNumberFormat="1" applyFont="1" applyFill="1" applyBorder="1" applyAlignment="1">
      <alignment/>
    </xf>
    <xf numFmtId="0" fontId="103" fillId="0" borderId="19" xfId="0" applyFont="1" applyFill="1" applyBorder="1" applyAlignment="1">
      <alignment vertical="center"/>
    </xf>
    <xf numFmtId="3" fontId="103" fillId="0" borderId="19" xfId="109" applyNumberFormat="1" applyFont="1" applyFill="1" applyBorder="1" applyAlignment="1">
      <alignment vertical="center"/>
    </xf>
    <xf numFmtId="3" fontId="103" fillId="0" borderId="19" xfId="109" applyNumberFormat="1" applyFont="1" applyFill="1" applyBorder="1" applyAlignment="1">
      <alignment/>
    </xf>
    <xf numFmtId="0" fontId="103" fillId="0" borderId="0" xfId="0" applyFont="1" applyFill="1" applyBorder="1" applyAlignment="1">
      <alignment/>
    </xf>
    <xf numFmtId="3" fontId="113" fillId="0" borderId="0" xfId="109" applyNumberFormat="1" applyFont="1" applyFill="1" applyBorder="1" applyAlignment="1">
      <alignment/>
    </xf>
    <xf numFmtId="0" fontId="103" fillId="0" borderId="0" xfId="0" applyFont="1" applyFill="1" applyBorder="1" applyAlignment="1">
      <alignment vertical="center"/>
    </xf>
    <xf numFmtId="3" fontId="114" fillId="0" borderId="19" xfId="109" applyNumberFormat="1" applyFont="1" applyFill="1" applyBorder="1" applyAlignment="1">
      <alignment/>
    </xf>
    <xf numFmtId="3" fontId="115" fillId="0" borderId="0" xfId="0" applyNumberFormat="1" applyFont="1" applyFill="1" applyBorder="1" applyAlignment="1">
      <alignment/>
    </xf>
    <xf numFmtId="3" fontId="114" fillId="0" borderId="0" xfId="109" applyNumberFormat="1" applyFont="1" applyFill="1" applyBorder="1" applyAlignment="1">
      <alignment/>
    </xf>
    <xf numFmtId="3" fontId="115" fillId="0" borderId="0" xfId="109" applyNumberFormat="1" applyFont="1" applyFill="1" applyBorder="1" applyAlignment="1">
      <alignment/>
    </xf>
    <xf numFmtId="3" fontId="115" fillId="0" borderId="19" xfId="109" applyNumberFormat="1" applyFont="1" applyFill="1" applyBorder="1" applyAlignment="1">
      <alignment vertical="center"/>
    </xf>
    <xf numFmtId="3" fontId="115" fillId="0" borderId="0" xfId="109" applyNumberFormat="1" applyFont="1" applyFill="1" applyBorder="1" applyAlignment="1">
      <alignment vertical="center"/>
    </xf>
    <xf numFmtId="0" fontId="115" fillId="0" borderId="19" xfId="0" applyFont="1" applyFill="1" applyBorder="1" applyAlignment="1">
      <alignment vertical="center"/>
    </xf>
    <xf numFmtId="0" fontId="115" fillId="0" borderId="0" xfId="0" applyFont="1" applyFill="1" applyBorder="1" applyAlignment="1">
      <alignment vertical="center"/>
    </xf>
    <xf numFmtId="3" fontId="103" fillId="0" borderId="24" xfId="109" applyNumberFormat="1" applyFont="1" applyFill="1" applyBorder="1" applyAlignment="1">
      <alignment/>
    </xf>
    <xf numFmtId="3" fontId="103" fillId="0" borderId="18" xfId="0" applyNumberFormat="1" applyFont="1" applyFill="1" applyBorder="1" applyAlignment="1">
      <alignment/>
    </xf>
    <xf numFmtId="3" fontId="103" fillId="0" borderId="18" xfId="109" applyNumberFormat="1" applyFont="1" applyFill="1" applyBorder="1" applyAlignment="1">
      <alignment/>
    </xf>
    <xf numFmtId="3" fontId="115" fillId="0" borderId="19" xfId="109" applyNumberFormat="1" applyFont="1" applyFill="1" applyBorder="1" applyAlignment="1">
      <alignment/>
    </xf>
    <xf numFmtId="0" fontId="103" fillId="0" borderId="19" xfId="0" applyFont="1" applyBorder="1" applyAlignment="1">
      <alignment/>
    </xf>
    <xf numFmtId="3" fontId="113" fillId="0" borderId="24" xfId="109" applyNumberFormat="1" applyFont="1" applyFill="1" applyBorder="1" applyAlignment="1">
      <alignment/>
    </xf>
    <xf numFmtId="3" fontId="113" fillId="0" borderId="18" xfId="0" applyNumberFormat="1" applyFont="1" applyFill="1" applyBorder="1" applyAlignment="1">
      <alignment/>
    </xf>
    <xf numFmtId="3" fontId="113" fillId="0" borderId="17" xfId="0" applyNumberFormat="1" applyFont="1" applyFill="1" applyBorder="1" applyAlignment="1">
      <alignment/>
    </xf>
    <xf numFmtId="3" fontId="114" fillId="0" borderId="17" xfId="109" applyNumberFormat="1" applyFont="1" applyFill="1" applyBorder="1" applyAlignment="1">
      <alignment/>
    </xf>
    <xf numFmtId="0" fontId="103" fillId="0" borderId="17" xfId="0" applyFont="1" applyFill="1" applyBorder="1" applyAlignment="1">
      <alignment/>
    </xf>
    <xf numFmtId="3" fontId="115" fillId="0" borderId="17" xfId="109" applyNumberFormat="1" applyFont="1" applyFill="1" applyBorder="1" applyAlignment="1">
      <alignment/>
    </xf>
    <xf numFmtId="3" fontId="113" fillId="0" borderId="17" xfId="109" applyNumberFormat="1" applyFont="1" applyFill="1" applyBorder="1" applyAlignment="1">
      <alignment/>
    </xf>
    <xf numFmtId="3" fontId="103" fillId="0" borderId="17" xfId="0" applyNumberFormat="1" applyFont="1" applyFill="1" applyBorder="1" applyAlignment="1">
      <alignment/>
    </xf>
    <xf numFmtId="3" fontId="115" fillId="0" borderId="17" xfId="109" applyNumberFormat="1" applyFont="1" applyFill="1" applyBorder="1" applyAlignment="1">
      <alignment vertical="center"/>
    </xf>
    <xf numFmtId="3" fontId="103" fillId="0" borderId="20" xfId="0" applyNumberFormat="1" applyFont="1" applyFill="1" applyBorder="1" applyAlignment="1">
      <alignment/>
    </xf>
    <xf numFmtId="0" fontId="113" fillId="0" borderId="17" xfId="0" applyFont="1" applyFill="1" applyBorder="1" applyAlignment="1">
      <alignment/>
    </xf>
    <xf numFmtId="3" fontId="113" fillId="0" borderId="20" xfId="0" applyNumberFormat="1" applyFont="1" applyFill="1" applyBorder="1" applyAlignment="1">
      <alignment/>
    </xf>
    <xf numFmtId="3" fontId="1" fillId="0" borderId="17" xfId="0" applyNumberFormat="1" applyFont="1" applyFill="1" applyBorder="1" applyAlignment="1">
      <alignment/>
    </xf>
    <xf numFmtId="3" fontId="8" fillId="0" borderId="17" xfId="0" applyNumberFormat="1" applyFont="1" applyFill="1" applyBorder="1" applyAlignment="1">
      <alignment horizontal="right"/>
    </xf>
    <xf numFmtId="3" fontId="0" fillId="0" borderId="18" xfId="0" applyNumberFormat="1" applyFont="1" applyFill="1" applyBorder="1" applyAlignment="1">
      <alignment horizontal="right"/>
    </xf>
    <xf numFmtId="174" fontId="103" fillId="33" borderId="18" xfId="0" applyNumberFormat="1" applyFont="1" applyFill="1" applyBorder="1" applyAlignment="1">
      <alignment/>
    </xf>
    <xf numFmtId="3" fontId="6" fillId="0" borderId="0" xfId="109" applyNumberFormat="1" applyFont="1" applyFill="1" applyBorder="1" applyAlignment="1">
      <alignment/>
    </xf>
    <xf numFmtId="3" fontId="0" fillId="0" borderId="0" xfId="109" applyNumberFormat="1" applyFont="1" applyFill="1" applyBorder="1" applyAlignment="1">
      <alignment/>
    </xf>
    <xf numFmtId="3" fontId="1" fillId="0" borderId="0" xfId="0" applyNumberFormat="1" applyFont="1" applyFill="1" applyBorder="1" applyAlignment="1">
      <alignment/>
    </xf>
    <xf numFmtId="3" fontId="1" fillId="0" borderId="18" xfId="0" applyNumberFormat="1" applyFont="1" applyFill="1" applyBorder="1" applyAlignment="1">
      <alignment/>
    </xf>
    <xf numFmtId="175" fontId="5" fillId="0" borderId="0" xfId="0" applyNumberFormat="1" applyFont="1" applyFill="1" applyBorder="1" applyAlignment="1">
      <alignment horizontal="center" vertical="center"/>
    </xf>
    <xf numFmtId="175" fontId="10" fillId="0" borderId="22" xfId="0" applyNumberFormat="1" applyFont="1" applyFill="1" applyBorder="1" applyAlignment="1">
      <alignment horizontal="left"/>
    </xf>
    <xf numFmtId="0" fontId="6" fillId="0" borderId="22" xfId="0" applyFont="1" applyFill="1" applyBorder="1" applyAlignment="1">
      <alignment vertical="center"/>
    </xf>
    <xf numFmtId="3" fontId="6" fillId="0" borderId="17" xfId="109" applyNumberFormat="1" applyFont="1" applyFill="1" applyBorder="1" applyAlignment="1">
      <alignment vertical="center"/>
    </xf>
    <xf numFmtId="3" fontId="115" fillId="0" borderId="17" xfId="0" applyNumberFormat="1" applyFont="1" applyFill="1" applyBorder="1" applyAlignment="1">
      <alignment/>
    </xf>
    <xf numFmtId="3" fontId="6" fillId="0" borderId="19" xfId="109" applyNumberFormat="1" applyFont="1" applyFill="1" applyBorder="1" applyAlignment="1">
      <alignment/>
    </xf>
    <xf numFmtId="3" fontId="10" fillId="0" borderId="17" xfId="109" applyNumberFormat="1" applyFont="1" applyFill="1" applyBorder="1" applyAlignment="1">
      <alignment/>
    </xf>
    <xf numFmtId="3" fontId="10" fillId="0" borderId="19" xfId="109" applyNumberFormat="1" applyFont="1" applyFill="1" applyBorder="1" applyAlignment="1">
      <alignment vertical="center"/>
    </xf>
    <xf numFmtId="3" fontId="6" fillId="0" borderId="0" xfId="109" applyNumberFormat="1" applyFont="1" applyFill="1" applyBorder="1" applyAlignment="1">
      <alignment vertical="center"/>
    </xf>
    <xf numFmtId="0" fontId="6" fillId="0" borderId="0" xfId="0" applyFont="1" applyFill="1" applyBorder="1" applyAlignment="1">
      <alignment/>
    </xf>
    <xf numFmtId="3" fontId="115" fillId="0" borderId="19" xfId="0" applyNumberFormat="1" applyFont="1" applyFill="1" applyBorder="1" applyAlignment="1">
      <alignment/>
    </xf>
    <xf numFmtId="0" fontId="1" fillId="0" borderId="22" xfId="0" applyFont="1" applyFill="1" applyBorder="1" applyAlignment="1">
      <alignment/>
    </xf>
    <xf numFmtId="3" fontId="1" fillId="0" borderId="24" xfId="109" applyNumberFormat="1" applyFont="1" applyFill="1" applyBorder="1" applyAlignment="1">
      <alignment/>
    </xf>
    <xf numFmtId="3" fontId="1" fillId="0" borderId="18" xfId="109" applyNumberFormat="1" applyFont="1" applyFill="1" applyBorder="1" applyAlignment="1">
      <alignment/>
    </xf>
    <xf numFmtId="3" fontId="1" fillId="0" borderId="20" xfId="109" applyNumberFormat="1" applyFont="1" applyFill="1" applyBorder="1" applyAlignment="1">
      <alignment/>
    </xf>
    <xf numFmtId="3" fontId="6" fillId="0" borderId="18" xfId="0" applyNumberFormat="1" applyFont="1" applyFill="1" applyBorder="1" applyAlignment="1">
      <alignment/>
    </xf>
    <xf numFmtId="0" fontId="0" fillId="0" borderId="0" xfId="0" applyFont="1" applyFill="1" applyAlignment="1">
      <alignment/>
    </xf>
    <xf numFmtId="3" fontId="1" fillId="0" borderId="0" xfId="0" applyNumberFormat="1" applyFont="1" applyBorder="1" applyAlignment="1">
      <alignment/>
    </xf>
    <xf numFmtId="0" fontId="10" fillId="0" borderId="22" xfId="0" applyFont="1" applyFill="1" applyBorder="1" applyAlignment="1">
      <alignment/>
    </xf>
    <xf numFmtId="0" fontId="0" fillId="0" borderId="19" xfId="0" applyFont="1" applyFill="1" applyBorder="1" applyAlignment="1" quotePrefix="1">
      <alignment/>
    </xf>
    <xf numFmtId="0" fontId="0" fillId="0" borderId="0" xfId="0" applyFont="1" applyFill="1" applyBorder="1" applyAlignment="1">
      <alignment horizontal="left"/>
    </xf>
    <xf numFmtId="0" fontId="0" fillId="0" borderId="0" xfId="0" applyFont="1" applyFill="1" applyBorder="1" applyAlignment="1" quotePrefix="1">
      <alignment horizontal="left"/>
    </xf>
    <xf numFmtId="3" fontId="103" fillId="0" borderId="20" xfId="109" applyNumberFormat="1" applyFont="1" applyFill="1" applyBorder="1" applyAlignment="1">
      <alignment/>
    </xf>
    <xf numFmtId="3" fontId="1" fillId="0" borderId="17" xfId="109" applyNumberFormat="1" applyFont="1" applyFill="1" applyBorder="1" applyAlignment="1">
      <alignment/>
    </xf>
    <xf numFmtId="3" fontId="0" fillId="0" borderId="26" xfId="0" applyNumberFormat="1" applyFont="1" applyFill="1" applyBorder="1" applyAlignment="1">
      <alignment/>
    </xf>
    <xf numFmtId="3" fontId="0" fillId="0" borderId="20" xfId="0" applyNumberFormat="1" applyFont="1" applyFill="1" applyBorder="1" applyAlignment="1">
      <alignment horizontal="right"/>
    </xf>
    <xf numFmtId="0" fontId="1" fillId="0" borderId="0" xfId="0" applyFont="1" applyFill="1" applyBorder="1" applyAlignment="1">
      <alignment/>
    </xf>
    <xf numFmtId="0" fontId="0" fillId="0" borderId="0" xfId="0" applyFont="1" applyFill="1" applyBorder="1" applyAlignment="1">
      <alignment horizontal="left" wrapText="1"/>
    </xf>
    <xf numFmtId="0" fontId="0" fillId="0" borderId="27" xfId="0" applyFont="1" applyFill="1" applyBorder="1" applyAlignment="1">
      <alignment horizontal="center" vertical="center"/>
    </xf>
    <xf numFmtId="0" fontId="0" fillId="0" borderId="1" xfId="0" applyFont="1" applyFill="1" applyBorder="1" applyAlignment="1">
      <alignment vertical="center"/>
    </xf>
    <xf numFmtId="174" fontId="103" fillId="33" borderId="0" xfId="0" applyNumberFormat="1" applyFont="1" applyFill="1" applyBorder="1" applyAlignment="1">
      <alignment/>
    </xf>
    <xf numFmtId="0" fontId="0" fillId="0" borderId="0" xfId="0" applyFont="1" applyFill="1" applyBorder="1" applyAlignment="1" quotePrefix="1">
      <alignment/>
    </xf>
    <xf numFmtId="0" fontId="0" fillId="0" borderId="23" xfId="0" applyFont="1" applyFill="1" applyBorder="1" applyAlignment="1">
      <alignment/>
    </xf>
    <xf numFmtId="3" fontId="1" fillId="0" borderId="19" xfId="109" applyNumberFormat="1" applyFont="1" applyFill="1" applyBorder="1" applyAlignment="1">
      <alignment vertical="center"/>
    </xf>
    <xf numFmtId="3" fontId="1" fillId="0" borderId="0" xfId="109" applyNumberFormat="1" applyFont="1" applyFill="1" applyBorder="1" applyAlignment="1">
      <alignment vertical="center"/>
    </xf>
    <xf numFmtId="3" fontId="1" fillId="0" borderId="17" xfId="109" applyNumberFormat="1" applyFont="1" applyFill="1" applyBorder="1" applyAlignment="1">
      <alignment vertical="center"/>
    </xf>
    <xf numFmtId="3" fontId="6" fillId="0" borderId="19" xfId="109" applyNumberFormat="1" applyFont="1" applyFill="1" applyBorder="1" applyAlignment="1">
      <alignment vertical="center"/>
    </xf>
    <xf numFmtId="3" fontId="6" fillId="0" borderId="17" xfId="109" applyNumberFormat="1" applyFont="1" applyFill="1" applyBorder="1" applyAlignment="1">
      <alignment vertical="center"/>
    </xf>
    <xf numFmtId="0" fontId="1" fillId="0" borderId="22" xfId="0" applyFont="1" applyFill="1" applyBorder="1" applyAlignment="1">
      <alignment vertical="center"/>
    </xf>
    <xf numFmtId="0" fontId="6" fillId="0" borderId="22" xfId="0" applyFont="1" applyFill="1" applyBorder="1" applyAlignment="1">
      <alignment/>
    </xf>
    <xf numFmtId="0" fontId="1" fillId="0" borderId="23" xfId="0" applyFont="1" applyFill="1" applyBorder="1" applyAlignment="1">
      <alignment/>
    </xf>
    <xf numFmtId="0" fontId="0" fillId="0" borderId="22" xfId="0" applyFont="1" applyFill="1" applyBorder="1" applyAlignment="1">
      <alignment vertical="center"/>
    </xf>
    <xf numFmtId="0" fontId="1" fillId="0" borderId="23" xfId="0" applyFont="1" applyFill="1" applyBorder="1" applyAlignment="1">
      <alignment vertical="center"/>
    </xf>
    <xf numFmtId="3" fontId="114" fillId="0" borderId="24" xfId="109" applyNumberFormat="1" applyFont="1" applyFill="1" applyBorder="1" applyAlignment="1">
      <alignment/>
    </xf>
    <xf numFmtId="3" fontId="114" fillId="0" borderId="18" xfId="109" applyNumberFormat="1" applyFont="1" applyFill="1" applyBorder="1" applyAlignment="1">
      <alignment/>
    </xf>
    <xf numFmtId="3" fontId="114" fillId="0" borderId="24" xfId="0" applyNumberFormat="1" applyFont="1" applyFill="1" applyBorder="1" applyAlignment="1">
      <alignment/>
    </xf>
    <xf numFmtId="3" fontId="114" fillId="0" borderId="18" xfId="0" applyNumberFormat="1" applyFont="1" applyFill="1" applyBorder="1" applyAlignment="1">
      <alignment/>
    </xf>
    <xf numFmtId="3" fontId="114" fillId="0" borderId="20" xfId="0" applyNumberFormat="1" applyFont="1" applyFill="1" applyBorder="1" applyAlignment="1">
      <alignment/>
    </xf>
    <xf numFmtId="4" fontId="6" fillId="0" borderId="19" xfId="109" applyNumberFormat="1" applyFont="1" applyFill="1" applyBorder="1" applyAlignment="1">
      <alignment vertical="center"/>
    </xf>
    <xf numFmtId="4" fontId="6" fillId="0" borderId="0" xfId="109" applyNumberFormat="1" applyFont="1" applyFill="1" applyBorder="1" applyAlignment="1">
      <alignment vertical="center"/>
    </xf>
    <xf numFmtId="4" fontId="6" fillId="0" borderId="17" xfId="109" applyNumberFormat="1" applyFont="1" applyFill="1" applyBorder="1" applyAlignment="1">
      <alignment vertical="center"/>
    </xf>
    <xf numFmtId="3" fontId="0" fillId="0" borderId="0" xfId="0" applyNumberFormat="1" applyFont="1" applyFill="1" applyBorder="1" applyAlignment="1">
      <alignment/>
    </xf>
    <xf numFmtId="0" fontId="9" fillId="0" borderId="0" xfId="0" applyFont="1" applyFill="1" applyBorder="1" applyAlignment="1" quotePrefix="1">
      <alignment horizontal="left"/>
    </xf>
    <xf numFmtId="0" fontId="9" fillId="0" borderId="0" xfId="0" applyFont="1" applyFill="1" applyBorder="1" applyAlignment="1">
      <alignment horizontal="left"/>
    </xf>
    <xf numFmtId="3" fontId="9" fillId="0" borderId="0" xfId="0" applyNumberFormat="1" applyFont="1" applyFill="1" applyBorder="1" applyAlignment="1">
      <alignment/>
    </xf>
    <xf numFmtId="0" fontId="9" fillId="0" borderId="0" xfId="0" applyFont="1" applyFill="1" applyBorder="1" applyAlignment="1">
      <alignment/>
    </xf>
    <xf numFmtId="3" fontId="103" fillId="0" borderId="19" xfId="109" applyNumberFormat="1" applyFont="1" applyFill="1" applyBorder="1" applyAlignment="1">
      <alignment horizontal="right"/>
    </xf>
    <xf numFmtId="3" fontId="1" fillId="33" borderId="22" xfId="0" applyNumberFormat="1" applyFont="1" applyFill="1" applyBorder="1" applyAlignment="1">
      <alignment/>
    </xf>
    <xf numFmtId="3" fontId="0" fillId="0" borderId="22" xfId="0" applyNumberFormat="1" applyFont="1" applyBorder="1" applyAlignment="1">
      <alignment/>
    </xf>
    <xf numFmtId="3" fontId="106" fillId="0" borderId="22" xfId="0" applyNumberFormat="1" applyFont="1" applyBorder="1" applyAlignment="1">
      <alignment/>
    </xf>
    <xf numFmtId="3" fontId="106" fillId="0" borderId="22" xfId="0" applyNumberFormat="1" applyFont="1" applyFill="1" applyBorder="1" applyAlignment="1">
      <alignment/>
    </xf>
    <xf numFmtId="3" fontId="109" fillId="0" borderId="22" xfId="0" applyNumberFormat="1" applyFont="1" applyBorder="1" applyAlignment="1">
      <alignment/>
    </xf>
    <xf numFmtId="3" fontId="10" fillId="0" borderId="23" xfId="0" applyNumberFormat="1" applyFont="1" applyBorder="1" applyAlignment="1">
      <alignment/>
    </xf>
    <xf numFmtId="0" fontId="5" fillId="41" borderId="18" xfId="0" applyNumberFormat="1" applyFont="1" applyFill="1" applyBorder="1" applyAlignment="1">
      <alignment horizontal="center" vertical="center" wrapText="1"/>
    </xf>
    <xf numFmtId="0" fontId="5" fillId="41" borderId="18" xfId="0" applyNumberFormat="1" applyFont="1" applyFill="1" applyBorder="1" applyAlignment="1">
      <alignment horizontal="center" vertical="center" wrapText="1"/>
    </xf>
    <xf numFmtId="0" fontId="5" fillId="41" borderId="20" xfId="0" applyNumberFormat="1" applyFont="1" applyFill="1" applyBorder="1" applyAlignment="1">
      <alignment horizontal="center" vertical="center" wrapText="1"/>
    </xf>
    <xf numFmtId="0" fontId="116" fillId="41" borderId="18" xfId="0" applyNumberFormat="1" applyFont="1" applyFill="1" applyBorder="1" applyAlignment="1">
      <alignment horizontal="center" vertical="center" wrapText="1"/>
    </xf>
    <xf numFmtId="175" fontId="5" fillId="41" borderId="25" xfId="0" applyNumberFormat="1" applyFont="1" applyFill="1" applyBorder="1" applyAlignment="1">
      <alignment horizontal="center" vertical="center"/>
    </xf>
    <xf numFmtId="175" fontId="5" fillId="41" borderId="1" xfId="0" applyNumberFormat="1" applyFont="1" applyFill="1" applyBorder="1" applyAlignment="1">
      <alignment horizontal="center" vertical="center"/>
    </xf>
    <xf numFmtId="175" fontId="5" fillId="41" borderId="26" xfId="0" applyNumberFormat="1" applyFont="1" applyFill="1" applyBorder="1" applyAlignment="1">
      <alignment horizontal="center" vertical="center"/>
    </xf>
    <xf numFmtId="0" fontId="103" fillId="0" borderId="19" xfId="0" applyFont="1" applyFill="1" applyBorder="1" applyAlignment="1">
      <alignment horizontal="right"/>
    </xf>
    <xf numFmtId="3" fontId="103" fillId="0" borderId="24" xfId="109" applyNumberFormat="1" applyFont="1" applyFill="1" applyBorder="1" applyAlignment="1">
      <alignment horizontal="right"/>
    </xf>
    <xf numFmtId="3" fontId="103" fillId="0" borderId="19" xfId="0" applyNumberFormat="1" applyFont="1" applyFill="1" applyBorder="1" applyAlignment="1">
      <alignment horizontal="right"/>
    </xf>
    <xf numFmtId="3" fontId="1" fillId="0" borderId="20" xfId="0" applyNumberFormat="1" applyFont="1" applyFill="1" applyBorder="1" applyAlignment="1">
      <alignment/>
    </xf>
    <xf numFmtId="3" fontId="1" fillId="0" borderId="24" xfId="0" applyNumberFormat="1" applyFont="1" applyFill="1" applyBorder="1" applyAlignment="1">
      <alignment/>
    </xf>
    <xf numFmtId="3" fontId="103" fillId="0" borderId="18" xfId="109" applyNumberFormat="1" applyFont="1" applyFill="1" applyBorder="1" applyAlignment="1">
      <alignment horizontal="right"/>
    </xf>
    <xf numFmtId="0" fontId="0" fillId="0" borderId="28" xfId="0" applyFont="1" applyFill="1" applyBorder="1" applyAlignment="1">
      <alignment horizontal="center"/>
    </xf>
    <xf numFmtId="0" fontId="0" fillId="0" borderId="29" xfId="0" applyFont="1" applyFill="1" applyBorder="1" applyAlignment="1">
      <alignment horizontal="center"/>
    </xf>
    <xf numFmtId="3" fontId="1" fillId="0" borderId="18" xfId="109" applyNumberFormat="1" applyFont="1" applyFill="1" applyBorder="1" applyAlignment="1">
      <alignment vertical="center"/>
    </xf>
    <xf numFmtId="4" fontId="6" fillId="0" borderId="0" xfId="109" applyNumberFormat="1" applyFont="1" applyFill="1" applyBorder="1" applyAlignment="1">
      <alignment vertical="center"/>
    </xf>
    <xf numFmtId="0" fontId="103" fillId="0" borderId="0" xfId="0" applyFont="1" applyBorder="1" applyAlignment="1">
      <alignment horizontal="right"/>
    </xf>
    <xf numFmtId="0" fontId="0" fillId="0" borderId="1" xfId="0" applyFont="1" applyFill="1" applyBorder="1" applyAlignment="1">
      <alignment/>
    </xf>
    <xf numFmtId="3" fontId="103" fillId="0" borderId="0" xfId="0" applyNumberFormat="1" applyFont="1" applyFill="1" applyBorder="1" applyAlignment="1">
      <alignment horizontal="right"/>
    </xf>
    <xf numFmtId="3" fontId="103" fillId="0" borderId="18" xfId="0" applyNumberFormat="1" applyFont="1" applyFill="1" applyBorder="1" applyAlignment="1">
      <alignment horizontal="right"/>
    </xf>
    <xf numFmtId="3" fontId="1" fillId="0" borderId="18" xfId="109" applyNumberFormat="1" applyFont="1" applyFill="1" applyBorder="1" applyAlignment="1">
      <alignment/>
    </xf>
    <xf numFmtId="3" fontId="6" fillId="0" borderId="0" xfId="109" applyNumberFormat="1" applyFont="1" applyFill="1" applyBorder="1" applyAlignment="1">
      <alignment horizontal="right" vertical="center"/>
    </xf>
    <xf numFmtId="3" fontId="0" fillId="0" borderId="18" xfId="109" applyNumberFormat="1" applyFont="1" applyFill="1" applyBorder="1" applyAlignment="1">
      <alignment horizontal="right"/>
    </xf>
    <xf numFmtId="3" fontId="103" fillId="0" borderId="20" xfId="109" applyNumberFormat="1" applyFont="1" applyFill="1" applyBorder="1" applyAlignment="1">
      <alignment horizontal="right"/>
    </xf>
    <xf numFmtId="3" fontId="103" fillId="0" borderId="20" xfId="0" applyNumberFormat="1" applyFont="1" applyFill="1" applyBorder="1" applyAlignment="1">
      <alignment horizontal="right"/>
    </xf>
    <xf numFmtId="3" fontId="6" fillId="0" borderId="19" xfId="109" applyNumberFormat="1" applyFont="1" applyFill="1" applyBorder="1" applyAlignment="1">
      <alignment horizontal="right" vertical="center"/>
    </xf>
    <xf numFmtId="3" fontId="6" fillId="0" borderId="0" xfId="109" applyNumberFormat="1" applyFont="1" applyFill="1" applyBorder="1" applyAlignment="1">
      <alignment horizontal="right"/>
    </xf>
    <xf numFmtId="3" fontId="0" fillId="0" borderId="0" xfId="0" applyNumberFormat="1" applyFont="1" applyBorder="1" applyAlignment="1">
      <alignment/>
    </xf>
    <xf numFmtId="0" fontId="0" fillId="0" borderId="17" xfId="0" applyNumberFormat="1" applyFont="1" applyFill="1" applyBorder="1" applyAlignment="1">
      <alignment/>
    </xf>
    <xf numFmtId="0" fontId="0" fillId="0" borderId="17" xfId="0" applyFont="1" applyBorder="1" applyAlignment="1">
      <alignment/>
    </xf>
    <xf numFmtId="0" fontId="0" fillId="0" borderId="17" xfId="0" applyFont="1" applyFill="1" applyBorder="1" applyAlignment="1">
      <alignment vertical="center"/>
    </xf>
    <xf numFmtId="0" fontId="10" fillId="0" borderId="17" xfId="0" applyFont="1" applyFill="1" applyBorder="1" applyAlignment="1">
      <alignment vertical="center"/>
    </xf>
    <xf numFmtId="3" fontId="0" fillId="0" borderId="1" xfId="0" applyNumberFormat="1" applyFont="1" applyFill="1" applyBorder="1" applyAlignment="1">
      <alignment/>
    </xf>
    <xf numFmtId="3" fontId="103" fillId="0" borderId="19" xfId="0" applyNumberFormat="1" applyFont="1" applyBorder="1" applyAlignment="1">
      <alignment/>
    </xf>
    <xf numFmtId="3" fontId="1" fillId="33" borderId="24" xfId="0" applyNumberFormat="1" applyFont="1" applyFill="1" applyBorder="1" applyAlignment="1">
      <alignment/>
    </xf>
    <xf numFmtId="3" fontId="1" fillId="0" borderId="19" xfId="0" applyNumberFormat="1" applyFont="1" applyFill="1" applyBorder="1" applyAlignment="1">
      <alignment/>
    </xf>
    <xf numFmtId="0" fontId="0" fillId="0" borderId="0" xfId="0" applyFont="1" applyFill="1" applyBorder="1" applyAlignment="1">
      <alignment vertical="center" wrapText="1"/>
    </xf>
    <xf numFmtId="0" fontId="103" fillId="0" borderId="18" xfId="0" applyFont="1" applyFill="1" applyBorder="1" applyAlignment="1">
      <alignment/>
    </xf>
    <xf numFmtId="3" fontId="106" fillId="0" borderId="0" xfId="0" applyNumberFormat="1" applyFont="1" applyAlignment="1" quotePrefix="1">
      <alignment/>
    </xf>
    <xf numFmtId="0" fontId="0" fillId="0" borderId="0" xfId="0" applyFont="1" applyAlignment="1" quotePrefix="1">
      <alignment/>
    </xf>
    <xf numFmtId="175" fontId="5" fillId="41" borderId="24" xfId="0" applyNumberFormat="1" applyFont="1" applyFill="1" applyBorder="1" applyAlignment="1">
      <alignment horizontal="center" vertical="center"/>
    </xf>
    <xf numFmtId="175" fontId="5" fillId="41" borderId="18" xfId="0" applyNumberFormat="1" applyFont="1" applyFill="1" applyBorder="1" applyAlignment="1">
      <alignment horizontal="center" vertical="center"/>
    </xf>
    <xf numFmtId="0" fontId="5" fillId="41" borderId="24" xfId="0" applyNumberFormat="1" applyFont="1" applyFill="1" applyBorder="1" applyAlignment="1">
      <alignment horizontal="center" vertical="center" wrapText="1"/>
    </xf>
    <xf numFmtId="3" fontId="106" fillId="0" borderId="19" xfId="0" applyNumberFormat="1" applyFont="1" applyBorder="1" applyAlignment="1">
      <alignment/>
    </xf>
    <xf numFmtId="3" fontId="36" fillId="40" borderId="19" xfId="0" applyNumberFormat="1" applyFont="1" applyFill="1" applyBorder="1" applyAlignment="1">
      <alignment/>
    </xf>
    <xf numFmtId="3" fontId="8" fillId="0" borderId="19" xfId="0" applyNumberFormat="1" applyFont="1" applyBorder="1" applyAlignment="1">
      <alignment/>
    </xf>
    <xf numFmtId="3" fontId="1" fillId="40" borderId="19" xfId="0" applyNumberFormat="1" applyFont="1" applyFill="1" applyBorder="1" applyAlignment="1">
      <alignment/>
    </xf>
    <xf numFmtId="3" fontId="1" fillId="40" borderId="24" xfId="0" applyNumberFormat="1" applyFont="1" applyFill="1" applyBorder="1" applyAlignment="1">
      <alignment/>
    </xf>
    <xf numFmtId="3" fontId="1" fillId="33" borderId="19" xfId="0" applyNumberFormat="1" applyFont="1" applyFill="1" applyBorder="1" applyAlignment="1">
      <alignment/>
    </xf>
    <xf numFmtId="3" fontId="0" fillId="0" borderId="19" xfId="0" applyNumberFormat="1" applyFont="1" applyBorder="1" applyAlignment="1">
      <alignment/>
    </xf>
    <xf numFmtId="3" fontId="109" fillId="0" borderId="25" xfId="0" applyNumberFormat="1" applyFont="1" applyFill="1" applyBorder="1" applyAlignment="1">
      <alignment horizontal="center"/>
    </xf>
    <xf numFmtId="3" fontId="0" fillId="0" borderId="19" xfId="0" applyNumberFormat="1" applyFont="1" applyFill="1" applyBorder="1" applyAlignment="1">
      <alignment horizontal="left"/>
    </xf>
    <xf numFmtId="3" fontId="0" fillId="0" borderId="19" xfId="0" applyNumberFormat="1" applyFont="1" applyFill="1" applyBorder="1" applyAlignment="1">
      <alignment/>
    </xf>
    <xf numFmtId="3" fontId="10" fillId="0" borderId="19" xfId="0" applyNumberFormat="1" applyFont="1" applyFill="1" applyBorder="1" applyAlignment="1">
      <alignment/>
    </xf>
    <xf numFmtId="175" fontId="10" fillId="0" borderId="19" xfId="0" applyNumberFormat="1" applyFont="1" applyFill="1" applyBorder="1" applyAlignment="1">
      <alignment horizontal="left"/>
    </xf>
    <xf numFmtId="3" fontId="106" fillId="0" borderId="19" xfId="0" applyNumberFormat="1" applyFont="1" applyFill="1" applyBorder="1" applyAlignment="1">
      <alignment/>
    </xf>
    <xf numFmtId="3" fontId="111" fillId="0" borderId="19" xfId="0" applyNumberFormat="1" applyFont="1" applyFill="1" applyBorder="1" applyAlignment="1">
      <alignment/>
    </xf>
    <xf numFmtId="3" fontId="1" fillId="33" borderId="24" xfId="0" applyNumberFormat="1" applyFont="1" applyFill="1" applyBorder="1" applyAlignment="1">
      <alignment/>
    </xf>
    <xf numFmtId="3" fontId="106" fillId="0" borderId="25" xfId="0" applyNumberFormat="1" applyFont="1" applyFill="1" applyBorder="1" applyAlignment="1">
      <alignment/>
    </xf>
    <xf numFmtId="3" fontId="109" fillId="0" borderId="19" xfId="0" applyNumberFormat="1" applyFont="1" applyFill="1" applyBorder="1" applyAlignment="1">
      <alignment horizontal="center"/>
    </xf>
    <xf numFmtId="3" fontId="0" fillId="0" borderId="19" xfId="0" applyNumberFormat="1" applyFont="1" applyFill="1" applyBorder="1" applyAlignment="1">
      <alignment horizontal="right"/>
    </xf>
    <xf numFmtId="3" fontId="111" fillId="0" borderId="19" xfId="130" applyNumberFormat="1" applyFont="1" applyFill="1" applyBorder="1" applyAlignment="1">
      <alignment/>
    </xf>
    <xf numFmtId="3" fontId="109" fillId="0" borderId="19" xfId="0" applyNumberFormat="1" applyFont="1" applyFill="1" applyBorder="1" applyAlignment="1">
      <alignment/>
    </xf>
    <xf numFmtId="3" fontId="1" fillId="41" borderId="25" xfId="0" applyNumberFormat="1" applyFont="1" applyFill="1" applyBorder="1" applyAlignment="1">
      <alignment/>
    </xf>
    <xf numFmtId="3" fontId="1" fillId="41" borderId="1" xfId="0" applyNumberFormat="1" applyFont="1" applyFill="1" applyBorder="1" applyAlignment="1">
      <alignment/>
    </xf>
    <xf numFmtId="3" fontId="8" fillId="0" borderId="19" xfId="0" applyNumberFormat="1" applyFont="1" applyFill="1" applyBorder="1" applyAlignment="1">
      <alignment horizontal="right"/>
    </xf>
    <xf numFmtId="3" fontId="0" fillId="0" borderId="24" xfId="0" applyNumberFormat="1" applyFont="1" applyFill="1" applyBorder="1" applyAlignment="1">
      <alignment horizontal="right"/>
    </xf>
    <xf numFmtId="3" fontId="1" fillId="0" borderId="25" xfId="0" applyNumberFormat="1" applyFont="1" applyFill="1" applyBorder="1" applyAlignment="1">
      <alignment horizontal="center"/>
    </xf>
    <xf numFmtId="3" fontId="0" fillId="0" borderId="19" xfId="0" applyNumberFormat="1" applyFont="1" applyFill="1" applyBorder="1" applyAlignment="1">
      <alignment/>
    </xf>
    <xf numFmtId="3" fontId="1" fillId="0" borderId="24" xfId="0" applyNumberFormat="1" applyFont="1" applyBorder="1" applyAlignment="1">
      <alignment/>
    </xf>
    <xf numFmtId="3" fontId="0" fillId="0" borderId="17" xfId="0" applyNumberFormat="1" applyFont="1" applyFill="1" applyBorder="1" applyAlignment="1">
      <alignment/>
    </xf>
    <xf numFmtId="3" fontId="36" fillId="0" borderId="19" xfId="0" applyNumberFormat="1" applyFont="1" applyFill="1" applyBorder="1" applyAlignment="1">
      <alignment/>
    </xf>
    <xf numFmtId="3" fontId="8" fillId="0" borderId="19" xfId="0" applyNumberFormat="1" applyFont="1" applyFill="1" applyBorder="1" applyAlignment="1">
      <alignment/>
    </xf>
    <xf numFmtId="3" fontId="36" fillId="0" borderId="24" xfId="0" applyNumberFormat="1" applyFont="1" applyFill="1" applyBorder="1" applyAlignment="1">
      <alignment/>
    </xf>
    <xf numFmtId="0" fontId="116" fillId="41" borderId="24" xfId="0" applyNumberFormat="1" applyFont="1" applyFill="1" applyBorder="1" applyAlignment="1">
      <alignment horizontal="center" vertical="center" wrapText="1"/>
    </xf>
    <xf numFmtId="3" fontId="1" fillId="0" borderId="19" xfId="0" applyNumberFormat="1" applyFont="1" applyFill="1" applyBorder="1" applyAlignment="1">
      <alignment horizontal="center"/>
    </xf>
    <xf numFmtId="0" fontId="10" fillId="0" borderId="19" xfId="0" applyFont="1" applyFill="1" applyBorder="1" applyAlignment="1">
      <alignment vertical="center"/>
    </xf>
    <xf numFmtId="3" fontId="0" fillId="0" borderId="19" xfId="0" applyNumberFormat="1" applyFont="1" applyFill="1" applyBorder="1" applyAlignment="1">
      <alignment/>
    </xf>
    <xf numFmtId="3" fontId="1" fillId="0" borderId="0" xfId="0" applyNumberFormat="1" applyFont="1" applyAlignment="1">
      <alignment horizontal="right"/>
    </xf>
    <xf numFmtId="3" fontId="4" fillId="0" borderId="19" xfId="0" applyNumberFormat="1" applyFont="1" applyFill="1" applyBorder="1" applyAlignment="1">
      <alignment horizontal="center" vertical="center"/>
    </xf>
    <xf numFmtId="0" fontId="4" fillId="0" borderId="19" xfId="0" applyNumberFormat="1" applyFont="1" applyBorder="1" applyAlignment="1">
      <alignment vertical="center"/>
    </xf>
    <xf numFmtId="0" fontId="1" fillId="0" borderId="19" xfId="0" applyNumberFormat="1" applyFont="1" applyFill="1" applyBorder="1" applyAlignment="1">
      <alignment horizontal="left"/>
    </xf>
    <xf numFmtId="0" fontId="0" fillId="0" borderId="19" xfId="0" applyFont="1" applyBorder="1" applyAlignment="1">
      <alignment/>
    </xf>
    <xf numFmtId="0" fontId="6" fillId="0" borderId="19" xfId="0" applyFont="1" applyFill="1" applyBorder="1" applyAlignment="1">
      <alignment/>
    </xf>
    <xf numFmtId="0" fontId="1" fillId="33" borderId="19" xfId="0" applyFont="1" applyFill="1" applyBorder="1" applyAlignment="1">
      <alignment/>
    </xf>
    <xf numFmtId="0" fontId="4" fillId="0" borderId="19" xfId="0" applyFont="1" applyBorder="1" applyAlignment="1">
      <alignment/>
    </xf>
    <xf numFmtId="0" fontId="0" fillId="0" borderId="19" xfId="0" applyFont="1" applyFill="1" applyBorder="1" applyAlignment="1">
      <alignment vertical="center"/>
    </xf>
    <xf numFmtId="0" fontId="0" fillId="0" borderId="19" xfId="0" applyFont="1" applyFill="1" applyBorder="1" applyAlignment="1" quotePrefix="1">
      <alignment vertical="center"/>
    </xf>
    <xf numFmtId="0" fontId="1" fillId="33" borderId="24" xfId="0" applyFont="1" applyFill="1" applyBorder="1" applyAlignment="1">
      <alignment/>
    </xf>
    <xf numFmtId="0" fontId="0" fillId="0" borderId="0" xfId="0" applyNumberFormat="1" applyFont="1" applyFill="1" applyBorder="1" applyAlignment="1">
      <alignment/>
    </xf>
    <xf numFmtId="0" fontId="5" fillId="0" borderId="19" xfId="0" applyNumberFormat="1" applyFont="1" applyFill="1" applyBorder="1" applyAlignment="1">
      <alignment horizontal="center" vertical="center" wrapText="1"/>
    </xf>
    <xf numFmtId="0" fontId="0" fillId="0" borderId="19" xfId="0" applyNumberFormat="1" applyFont="1" applyBorder="1" applyAlignment="1">
      <alignment vertical="center"/>
    </xf>
    <xf numFmtId="0" fontId="5" fillId="0" borderId="19" xfId="0" applyNumberFormat="1" applyFont="1" applyFill="1" applyBorder="1" applyAlignment="1">
      <alignment horizontal="center"/>
    </xf>
    <xf numFmtId="3" fontId="106" fillId="0" borderId="19" xfId="109" applyNumberFormat="1" applyFont="1" applyFill="1" applyBorder="1" applyAlignment="1">
      <alignment/>
    </xf>
    <xf numFmtId="3" fontId="1" fillId="33" borderId="19" xfId="109" applyNumberFormat="1" applyFont="1" applyFill="1" applyBorder="1" applyAlignment="1">
      <alignment/>
    </xf>
    <xf numFmtId="0" fontId="1" fillId="0" borderId="19" xfId="0" applyNumberFormat="1" applyFont="1" applyFill="1" applyBorder="1" applyAlignment="1">
      <alignment horizontal="center" vertical="center" wrapText="1"/>
    </xf>
    <xf numFmtId="3" fontId="0" fillId="0" borderId="19" xfId="109" applyNumberFormat="1" applyFont="1" applyFill="1" applyBorder="1" applyAlignment="1">
      <alignment vertical="center"/>
    </xf>
    <xf numFmtId="3" fontId="1" fillId="33" borderId="24" xfId="0" applyNumberFormat="1" applyFont="1" applyFill="1" applyBorder="1" applyAlignment="1">
      <alignment vertical="center"/>
    </xf>
    <xf numFmtId="0" fontId="4" fillId="0" borderId="19" xfId="0" applyFont="1" applyBorder="1" applyAlignment="1">
      <alignment/>
    </xf>
    <xf numFmtId="0" fontId="0" fillId="0" borderId="19" xfId="0" applyFont="1" applyBorder="1" applyAlignment="1">
      <alignment/>
    </xf>
    <xf numFmtId="0" fontId="0" fillId="0" borderId="19" xfId="0" applyFont="1" applyFill="1" applyBorder="1" applyAlignment="1" quotePrefix="1">
      <alignment/>
    </xf>
    <xf numFmtId="0" fontId="1" fillId="0" borderId="19" xfId="0" applyFont="1" applyFill="1" applyBorder="1" applyAlignment="1">
      <alignment/>
    </xf>
    <xf numFmtId="0" fontId="4" fillId="0" borderId="19" xfId="0" applyFont="1" applyFill="1" applyBorder="1" applyAlignment="1">
      <alignment/>
    </xf>
    <xf numFmtId="0" fontId="0" fillId="0" borderId="19" xfId="0" applyFont="1" applyFill="1" applyBorder="1" applyAlignment="1">
      <alignment/>
    </xf>
    <xf numFmtId="0" fontId="10" fillId="0" borderId="19" xfId="0" applyFont="1" applyFill="1" applyBorder="1" applyAlignment="1">
      <alignment/>
    </xf>
    <xf numFmtId="0" fontId="0" fillId="0" borderId="19" xfId="0" applyFont="1" applyBorder="1" applyAlignment="1">
      <alignment/>
    </xf>
    <xf numFmtId="0" fontId="1" fillId="33" borderId="19" xfId="0" applyFont="1" applyFill="1" applyBorder="1" applyAlignment="1">
      <alignment/>
    </xf>
    <xf numFmtId="0" fontId="0" fillId="0" borderId="19" xfId="0" applyFont="1" applyBorder="1" applyAlignment="1">
      <alignment/>
    </xf>
    <xf numFmtId="0" fontId="1" fillId="0" borderId="0" xfId="0" applyFont="1" applyBorder="1" applyAlignment="1">
      <alignment/>
    </xf>
    <xf numFmtId="0" fontId="5" fillId="0" borderId="1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3" fontId="0" fillId="0" borderId="19" xfId="109" applyNumberFormat="1" applyFont="1" applyFill="1" applyBorder="1" applyAlignment="1">
      <alignment horizontal="right"/>
    </xf>
    <xf numFmtId="3" fontId="1" fillId="33" borderId="19" xfId="0" applyNumberFormat="1" applyFont="1" applyFill="1" applyBorder="1" applyAlignment="1">
      <alignment horizontal="right"/>
    </xf>
    <xf numFmtId="3" fontId="1" fillId="33" borderId="19" xfId="109" applyNumberFormat="1" applyFont="1" applyFill="1" applyBorder="1" applyAlignment="1">
      <alignment horizontal="right"/>
    </xf>
    <xf numFmtId="3" fontId="1" fillId="0" borderId="19" xfId="0" applyNumberFormat="1" applyFont="1" applyFill="1" applyBorder="1" applyAlignment="1">
      <alignment horizontal="right"/>
    </xf>
    <xf numFmtId="3" fontId="10" fillId="0" borderId="19" xfId="0" applyNumberFormat="1" applyFont="1" applyFill="1" applyBorder="1" applyAlignment="1">
      <alignment horizontal="right"/>
    </xf>
    <xf numFmtId="174" fontId="103" fillId="33" borderId="19" xfId="0" applyNumberFormat="1" applyFont="1" applyFill="1" applyBorder="1" applyAlignment="1">
      <alignment/>
    </xf>
    <xf numFmtId="174" fontId="103" fillId="33" borderId="24" xfId="0" applyNumberFormat="1" applyFont="1" applyFill="1" applyBorder="1" applyAlignment="1">
      <alignment/>
    </xf>
    <xf numFmtId="0" fontId="10" fillId="0" borderId="19" xfId="0" applyFont="1" applyBorder="1" applyAlignment="1">
      <alignment/>
    </xf>
    <xf numFmtId="0" fontId="113" fillId="0" borderId="0" xfId="0" applyFont="1" applyBorder="1" applyAlignment="1">
      <alignment/>
    </xf>
    <xf numFmtId="3" fontId="0" fillId="0" borderId="19" xfId="0" applyNumberFormat="1" applyFont="1" applyBorder="1" applyAlignment="1">
      <alignment/>
    </xf>
    <xf numFmtId="3" fontId="113" fillId="0" borderId="19" xfId="0" applyNumberFormat="1" applyFont="1" applyBorder="1" applyAlignment="1">
      <alignment/>
    </xf>
    <xf numFmtId="0" fontId="1" fillId="0" borderId="25" xfId="0" applyFont="1" applyFill="1" applyBorder="1" applyAlignment="1">
      <alignment/>
    </xf>
    <xf numFmtId="3" fontId="0" fillId="0" borderId="19" xfId="0" applyNumberFormat="1" applyFont="1" applyBorder="1" applyAlignment="1">
      <alignment/>
    </xf>
    <xf numFmtId="175" fontId="5" fillId="41" borderId="20" xfId="0" applyNumberFormat="1" applyFont="1" applyFill="1" applyBorder="1" applyAlignment="1">
      <alignment horizontal="center" vertical="center"/>
    </xf>
    <xf numFmtId="175" fontId="5" fillId="41" borderId="30" xfId="0" applyNumberFormat="1" applyFont="1" applyFill="1" applyBorder="1" applyAlignment="1">
      <alignment horizontal="center" vertical="center"/>
    </xf>
    <xf numFmtId="175" fontId="5" fillId="41" borderId="10" xfId="0" applyNumberFormat="1" applyFont="1" applyFill="1" applyBorder="1" applyAlignment="1">
      <alignment horizontal="center" vertical="center"/>
    </xf>
    <xf numFmtId="175" fontId="5" fillId="41" borderId="31" xfId="0" applyNumberFormat="1" applyFont="1" applyFill="1" applyBorder="1" applyAlignment="1">
      <alignment horizontal="center" vertical="center"/>
    </xf>
    <xf numFmtId="3" fontId="10" fillId="0" borderId="17" xfId="109" applyNumberFormat="1" applyFont="1" applyFill="1" applyBorder="1" applyAlignment="1">
      <alignment/>
    </xf>
    <xf numFmtId="3" fontId="6" fillId="0" borderId="17" xfId="109" applyNumberFormat="1" applyFont="1" applyFill="1" applyBorder="1" applyAlignment="1">
      <alignment/>
    </xf>
    <xf numFmtId="3" fontId="6" fillId="0" borderId="17" xfId="0" applyNumberFormat="1" applyFont="1" applyFill="1" applyBorder="1" applyAlignment="1">
      <alignment horizontal="right"/>
    </xf>
    <xf numFmtId="0" fontId="9" fillId="0" borderId="0" xfId="0" applyFont="1" applyFill="1" applyBorder="1" applyAlignment="1">
      <alignment/>
    </xf>
    <xf numFmtId="3" fontId="114" fillId="0" borderId="0" xfId="109" applyNumberFormat="1" applyFont="1" applyFill="1" applyBorder="1" applyAlignment="1">
      <alignment horizontal="right"/>
    </xf>
    <xf numFmtId="0" fontId="103" fillId="0" borderId="0" xfId="0" applyFont="1" applyFill="1" applyBorder="1" applyAlignment="1">
      <alignment horizontal="right"/>
    </xf>
    <xf numFmtId="0" fontId="116" fillId="41" borderId="20" xfId="0" applyNumberFormat="1" applyFont="1" applyFill="1" applyBorder="1" applyAlignment="1">
      <alignment horizontal="center" vertical="center" wrapText="1"/>
    </xf>
    <xf numFmtId="0" fontId="10" fillId="0" borderId="0" xfId="0" applyFont="1" applyBorder="1" applyAlignment="1">
      <alignment horizontal="center" vertical="center"/>
    </xf>
    <xf numFmtId="3" fontId="6" fillId="0" borderId="17" xfId="109" applyNumberFormat="1" applyFont="1" applyFill="1" applyBorder="1" applyAlignment="1">
      <alignment/>
    </xf>
    <xf numFmtId="3" fontId="1" fillId="40" borderId="0" xfId="0" applyNumberFormat="1" applyFont="1" applyFill="1" applyBorder="1" applyAlignment="1">
      <alignment horizontal="right"/>
    </xf>
    <xf numFmtId="3" fontId="0" fillId="0" borderId="0" xfId="0" applyNumberFormat="1" applyFont="1" applyBorder="1" applyAlignment="1">
      <alignment horizontal="right"/>
    </xf>
    <xf numFmtId="3" fontId="1"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17" xfId="109" applyNumberFormat="1" applyFont="1" applyFill="1" applyBorder="1" applyAlignment="1">
      <alignment/>
    </xf>
    <xf numFmtId="3" fontId="0" fillId="0" borderId="26" xfId="0" applyNumberFormat="1" applyFont="1" applyBorder="1" applyAlignment="1">
      <alignment/>
    </xf>
    <xf numFmtId="0" fontId="5" fillId="41" borderId="18" xfId="0" applyNumberFormat="1" applyFont="1" applyFill="1" applyBorder="1" applyAlignment="1">
      <alignment horizontal="center" vertical="center"/>
    </xf>
    <xf numFmtId="0" fontId="113" fillId="0" borderId="0" xfId="0" applyFont="1" applyFill="1" applyBorder="1" applyAlignment="1">
      <alignment/>
    </xf>
    <xf numFmtId="174" fontId="13" fillId="0" borderId="0" xfId="0" applyNumberFormat="1" applyFont="1" applyBorder="1" applyAlignment="1">
      <alignment horizontal="center"/>
    </xf>
    <xf numFmtId="0" fontId="13" fillId="0" borderId="32" xfId="0" applyFont="1" applyFill="1" applyBorder="1" applyAlignment="1">
      <alignment horizontal="center"/>
    </xf>
    <xf numFmtId="174" fontId="13" fillId="0" borderId="28" xfId="0" applyNumberFormat="1" applyFont="1" applyFill="1" applyBorder="1" applyAlignment="1">
      <alignment horizontal="center"/>
    </xf>
    <xf numFmtId="174" fontId="13" fillId="0" borderId="28" xfId="0" applyNumberFormat="1" applyFont="1" applyBorder="1" applyAlignment="1">
      <alignment horizontal="center"/>
    </xf>
    <xf numFmtId="0" fontId="13" fillId="0" borderId="32" xfId="0" applyFont="1" applyBorder="1" applyAlignment="1">
      <alignment horizontal="center"/>
    </xf>
    <xf numFmtId="174" fontId="38" fillId="0" borderId="0" xfId="0" applyNumberFormat="1" applyFont="1" applyFill="1" applyBorder="1" applyAlignment="1">
      <alignment/>
    </xf>
    <xf numFmtId="0" fontId="38" fillId="0" borderId="0" xfId="0" applyFont="1" applyFill="1" applyBorder="1" applyAlignment="1">
      <alignment/>
    </xf>
    <xf numFmtId="174" fontId="38" fillId="0" borderId="28" xfId="0" applyNumberFormat="1" applyFont="1" applyFill="1" applyBorder="1" applyAlignment="1">
      <alignment/>
    </xf>
    <xf numFmtId="0" fontId="38" fillId="0" borderId="32" xfId="0" applyFont="1" applyFill="1" applyBorder="1" applyAlignment="1">
      <alignment/>
    </xf>
    <xf numFmtId="174" fontId="13" fillId="0" borderId="28" xfId="0" applyNumberFormat="1" applyFont="1" applyFill="1" applyBorder="1" applyAlignment="1">
      <alignment/>
    </xf>
    <xf numFmtId="0" fontId="13" fillId="0" borderId="32" xfId="0" applyFont="1" applyFill="1" applyBorder="1" applyAlignment="1">
      <alignment/>
    </xf>
    <xf numFmtId="174" fontId="13" fillId="0" borderId="0" xfId="0" applyNumberFormat="1" applyFont="1" applyFill="1" applyAlignment="1">
      <alignment horizontal="center"/>
    </xf>
    <xf numFmtId="0" fontId="13" fillId="0" borderId="0" xfId="0" applyFont="1" applyFill="1" applyAlignment="1">
      <alignment horizontal="center"/>
    </xf>
    <xf numFmtId="174" fontId="13" fillId="0" borderId="0" xfId="0" applyNumberFormat="1" applyFont="1" applyFill="1" applyBorder="1" applyAlignment="1">
      <alignment horizontal="center"/>
    </xf>
    <xf numFmtId="174" fontId="13" fillId="0" borderId="0" xfId="0" applyNumberFormat="1" applyFont="1" applyFill="1" applyBorder="1" applyAlignment="1">
      <alignment/>
    </xf>
    <xf numFmtId="0" fontId="38" fillId="0" borderId="32" xfId="0" applyFont="1" applyBorder="1" applyAlignment="1">
      <alignment/>
    </xf>
    <xf numFmtId="174" fontId="13" fillId="0" borderId="28" xfId="0" applyNumberFormat="1" applyFont="1" applyBorder="1" applyAlignment="1">
      <alignment/>
    </xf>
    <xf numFmtId="0" fontId="13" fillId="0" borderId="32" xfId="0" applyFont="1" applyBorder="1" applyAlignment="1">
      <alignment/>
    </xf>
    <xf numFmtId="174" fontId="38" fillId="0" borderId="28" xfId="0" applyNumberFormat="1" applyFont="1" applyBorder="1" applyAlignment="1">
      <alignment/>
    </xf>
    <xf numFmtId="174" fontId="39" fillId="40" borderId="33" xfId="0" applyNumberFormat="1" applyFont="1" applyFill="1" applyBorder="1" applyAlignment="1">
      <alignment horizontal="center"/>
    </xf>
    <xf numFmtId="0" fontId="39" fillId="40" borderId="34" xfId="0" applyFont="1" applyFill="1" applyBorder="1" applyAlignment="1">
      <alignment horizontal="center"/>
    </xf>
    <xf numFmtId="3" fontId="1" fillId="40" borderId="18" xfId="0" applyNumberFormat="1" applyFont="1" applyFill="1" applyBorder="1" applyAlignment="1">
      <alignment/>
    </xf>
    <xf numFmtId="3" fontId="1" fillId="40" borderId="20" xfId="0" applyNumberFormat="1" applyFont="1" applyFill="1" applyBorder="1" applyAlignment="1">
      <alignment/>
    </xf>
    <xf numFmtId="3" fontId="0" fillId="0" borderId="17" xfId="0" applyNumberFormat="1" applyFont="1" applyFill="1" applyBorder="1" applyAlignment="1">
      <alignment horizontal="right"/>
    </xf>
    <xf numFmtId="0" fontId="10" fillId="0" borderId="19" xfId="0" applyFont="1" applyFill="1" applyBorder="1" applyAlignment="1" quotePrefix="1">
      <alignment/>
    </xf>
    <xf numFmtId="3" fontId="8" fillId="0" borderId="17" xfId="0" applyNumberFormat="1" applyFont="1" applyFill="1" applyBorder="1" applyAlignment="1">
      <alignment/>
    </xf>
    <xf numFmtId="3" fontId="0" fillId="0" borderId="0" xfId="0" applyNumberFormat="1" applyFont="1" applyAlignment="1" quotePrefix="1">
      <alignment/>
    </xf>
    <xf numFmtId="3" fontId="0" fillId="0" borderId="26" xfId="0" applyNumberFormat="1" applyFont="1" applyFill="1" applyBorder="1" applyAlignment="1">
      <alignment/>
    </xf>
    <xf numFmtId="3" fontId="36" fillId="0" borderId="20" xfId="0" applyNumberFormat="1" applyFont="1" applyFill="1" applyBorder="1" applyAlignment="1">
      <alignment/>
    </xf>
    <xf numFmtId="3" fontId="106" fillId="0" borderId="17" xfId="109" applyNumberFormat="1" applyFont="1" applyFill="1" applyBorder="1" applyAlignment="1">
      <alignment/>
    </xf>
    <xf numFmtId="3" fontId="10" fillId="0" borderId="17" xfId="0" applyNumberFormat="1" applyFont="1" applyFill="1" applyBorder="1" applyAlignment="1">
      <alignment vertical="center"/>
    </xf>
    <xf numFmtId="3" fontId="103" fillId="0" borderId="17" xfId="109" applyNumberFormat="1" applyFont="1" applyFill="1" applyBorder="1" applyAlignment="1">
      <alignment horizontal="right"/>
    </xf>
    <xf numFmtId="174" fontId="103" fillId="40" borderId="17" xfId="0" applyNumberFormat="1" applyFont="1" applyFill="1" applyBorder="1" applyAlignment="1">
      <alignment/>
    </xf>
    <xf numFmtId="174" fontId="103" fillId="40" borderId="20" xfId="0" applyNumberFormat="1" applyFont="1" applyFill="1" applyBorder="1" applyAlignment="1">
      <alignment/>
    </xf>
    <xf numFmtId="3" fontId="1" fillId="0" borderId="17" xfId="109" applyNumberFormat="1" applyFont="1" applyFill="1" applyBorder="1" applyAlignment="1">
      <alignment vertical="center"/>
    </xf>
    <xf numFmtId="3" fontId="1" fillId="0" borderId="20" xfId="109" applyNumberFormat="1" applyFont="1" applyFill="1" applyBorder="1" applyAlignment="1">
      <alignment vertical="center"/>
    </xf>
    <xf numFmtId="3" fontId="114" fillId="0" borderId="17" xfId="0" applyNumberFormat="1" applyFont="1" applyFill="1" applyBorder="1" applyAlignment="1">
      <alignment/>
    </xf>
    <xf numFmtId="0" fontId="103" fillId="0" borderId="17" xfId="0" applyFont="1" applyFill="1" applyBorder="1" applyAlignment="1">
      <alignment horizontal="right"/>
    </xf>
    <xf numFmtId="3" fontId="113" fillId="0" borderId="17" xfId="0" applyNumberFormat="1" applyFont="1" applyFill="1" applyBorder="1" applyAlignment="1">
      <alignment horizontal="right"/>
    </xf>
    <xf numFmtId="0" fontId="13" fillId="0" borderId="0" xfId="0" applyFont="1" applyAlignment="1">
      <alignment vertical="center"/>
    </xf>
    <xf numFmtId="0" fontId="13" fillId="0" borderId="0" xfId="0" applyFont="1" applyAlignment="1">
      <alignment horizontal="center" vertical="center"/>
    </xf>
    <xf numFmtId="0" fontId="39" fillId="0" borderId="0" xfId="0" applyFont="1" applyFill="1" applyAlignment="1">
      <alignment horizontal="center" vertical="center"/>
    </xf>
    <xf numFmtId="0" fontId="13" fillId="0" borderId="0" xfId="0" applyFont="1" applyFill="1" applyBorder="1" applyAlignment="1">
      <alignment vertical="center"/>
    </xf>
    <xf numFmtId="0" fontId="41" fillId="0" borderId="0" xfId="0" applyFont="1" applyAlignment="1">
      <alignment vertical="center"/>
    </xf>
    <xf numFmtId="0" fontId="35" fillId="0" borderId="0" xfId="0" applyFont="1" applyAlignment="1">
      <alignment vertical="center"/>
    </xf>
    <xf numFmtId="0" fontId="35" fillId="0" borderId="0" xfId="0" applyFont="1" applyFill="1" applyAlignment="1">
      <alignment vertical="center"/>
    </xf>
    <xf numFmtId="0" fontId="35" fillId="0" borderId="0" xfId="0" applyFont="1" applyFill="1" applyAlignment="1">
      <alignment horizontal="center" vertical="center"/>
    </xf>
    <xf numFmtId="0" fontId="35"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39" fillId="0" borderId="0" xfId="0" applyFont="1" applyAlignment="1">
      <alignment horizontal="center" vertical="center"/>
    </xf>
    <xf numFmtId="0" fontId="117" fillId="42" borderId="35" xfId="0" applyFont="1" applyFill="1" applyBorder="1" applyAlignment="1">
      <alignment horizontal="center" vertical="center" wrapText="1"/>
    </xf>
    <xf numFmtId="0" fontId="117" fillId="42" borderId="36" xfId="0" applyFont="1" applyFill="1" applyBorder="1" applyAlignment="1">
      <alignment horizontal="center" vertical="center" wrapText="1"/>
    </xf>
    <xf numFmtId="0" fontId="118" fillId="42" borderId="36" xfId="0" applyFont="1" applyFill="1" applyBorder="1" applyAlignment="1">
      <alignment horizontal="center" vertical="center" wrapText="1"/>
    </xf>
    <xf numFmtId="0" fontId="117" fillId="42" borderId="37" xfId="0" applyFont="1" applyFill="1" applyBorder="1" applyAlignment="1">
      <alignment horizontal="center" vertical="center" wrapText="1"/>
    </xf>
    <xf numFmtId="0" fontId="117" fillId="42" borderId="3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8" xfId="0" applyFont="1" applyBorder="1" applyAlignment="1">
      <alignment vertical="center"/>
    </xf>
    <xf numFmtId="0" fontId="117" fillId="0" borderId="36" xfId="0" applyFont="1" applyFill="1" applyBorder="1" applyAlignment="1">
      <alignment vertical="center"/>
    </xf>
    <xf numFmtId="0" fontId="39" fillId="0" borderId="21" xfId="0" applyFont="1" applyBorder="1" applyAlignment="1">
      <alignment vertical="center"/>
    </xf>
    <xf numFmtId="0" fontId="39" fillId="0" borderId="21" xfId="0" applyFont="1" applyBorder="1" applyAlignment="1">
      <alignment horizontal="center" vertical="center"/>
    </xf>
    <xf numFmtId="0" fontId="42" fillId="0" borderId="21" xfId="0" applyFont="1" applyBorder="1" applyAlignment="1">
      <alignment horizontal="center" vertical="center"/>
    </xf>
    <xf numFmtId="0" fontId="39" fillId="0" borderId="37" xfId="0" applyFont="1" applyFill="1" applyBorder="1" applyAlignment="1">
      <alignment horizontal="center" vertical="center"/>
    </xf>
    <xf numFmtId="0" fontId="39" fillId="0" borderId="3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2" xfId="0" applyFont="1" applyFill="1" applyBorder="1" applyAlignment="1">
      <alignment vertical="center"/>
    </xf>
    <xf numFmtId="3" fontId="43" fillId="0" borderId="22" xfId="0" applyNumberFormat="1" applyFont="1" applyFill="1" applyBorder="1" applyAlignment="1">
      <alignment horizontal="center" vertical="center"/>
    </xf>
    <xf numFmtId="0" fontId="44" fillId="0" borderId="22" xfId="0" applyFont="1" applyFill="1" applyBorder="1" applyAlignment="1">
      <alignment horizontal="center" vertical="center"/>
    </xf>
    <xf numFmtId="1" fontId="13" fillId="0" borderId="29" xfId="0" applyNumberFormat="1" applyFont="1" applyFill="1" applyBorder="1" applyAlignment="1">
      <alignment horizontal="center" vertical="center"/>
    </xf>
    <xf numFmtId="174" fontId="39" fillId="0" borderId="32" xfId="0" applyNumberFormat="1" applyFont="1" applyFill="1" applyBorder="1" applyAlignment="1">
      <alignment horizontal="center" vertical="center"/>
    </xf>
    <xf numFmtId="0" fontId="11" fillId="0" borderId="22" xfId="0" applyFont="1" applyFill="1" applyBorder="1" applyAlignment="1">
      <alignment horizontal="center" vertical="center"/>
    </xf>
    <xf numFmtId="0" fontId="13" fillId="0" borderId="29" xfId="0" applyFont="1" applyFill="1" applyBorder="1" applyAlignment="1">
      <alignment vertical="center"/>
    </xf>
    <xf numFmtId="0" fontId="13" fillId="0" borderId="23" xfId="0" applyFont="1" applyFill="1" applyBorder="1" applyAlignment="1">
      <alignment vertical="center"/>
    </xf>
    <xf numFmtId="0" fontId="13" fillId="0" borderId="23"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39" xfId="0" applyFont="1" applyFill="1" applyBorder="1" applyAlignment="1">
      <alignment vertical="center"/>
    </xf>
    <xf numFmtId="0" fontId="39" fillId="0" borderId="10" xfId="0" applyFont="1" applyFill="1" applyBorder="1" applyAlignment="1">
      <alignment vertical="center"/>
    </xf>
    <xf numFmtId="0" fontId="13" fillId="0" borderId="10" xfId="0" applyFont="1" applyBorder="1" applyAlignment="1">
      <alignment vertical="center"/>
    </xf>
    <xf numFmtId="0" fontId="13" fillId="0" borderId="10" xfId="0" applyFont="1" applyBorder="1" applyAlignment="1">
      <alignment horizontal="center" vertical="center"/>
    </xf>
    <xf numFmtId="3" fontId="39"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3" fontId="39" fillId="0" borderId="29" xfId="0" applyNumberFormat="1" applyFont="1" applyFill="1" applyBorder="1" applyAlignment="1">
      <alignment horizontal="center" vertical="center"/>
    </xf>
    <xf numFmtId="0" fontId="13" fillId="0" borderId="29"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3" fontId="39" fillId="0" borderId="32" xfId="0" applyNumberFormat="1" applyFont="1" applyFill="1" applyBorder="1" applyAlignment="1">
      <alignment horizontal="center" vertical="center"/>
    </xf>
    <xf numFmtId="0" fontId="46" fillId="0" borderId="40" xfId="0" applyFont="1" applyBorder="1" applyAlignment="1">
      <alignment horizontal="center" vertical="center"/>
    </xf>
    <xf numFmtId="0" fontId="39" fillId="40" borderId="33" xfId="0" applyFont="1" applyFill="1" applyBorder="1" applyAlignment="1">
      <alignment vertical="center"/>
    </xf>
    <xf numFmtId="0" fontId="13" fillId="40" borderId="41" xfId="0" applyFont="1" applyFill="1" applyBorder="1" applyAlignment="1">
      <alignment vertical="center"/>
    </xf>
    <xf numFmtId="0" fontId="13" fillId="40" borderId="41" xfId="0" applyFont="1" applyFill="1" applyBorder="1" applyAlignment="1">
      <alignment horizontal="center" vertical="center"/>
    </xf>
    <xf numFmtId="0" fontId="119" fillId="40" borderId="41" xfId="0" applyFont="1" applyFill="1" applyBorder="1" applyAlignment="1">
      <alignment horizontal="center" vertical="center"/>
    </xf>
    <xf numFmtId="3" fontId="39" fillId="0" borderId="42" xfId="0" applyNumberFormat="1" applyFont="1" applyFill="1" applyBorder="1" applyAlignment="1">
      <alignment horizontal="center" vertical="center"/>
    </xf>
    <xf numFmtId="3" fontId="39" fillId="0" borderId="0" xfId="0" applyNumberFormat="1" applyFont="1" applyFill="1" applyBorder="1" applyAlignment="1">
      <alignment horizontal="center" vertical="center"/>
    </xf>
    <xf numFmtId="0" fontId="117" fillId="42" borderId="35" xfId="0" applyFont="1" applyFill="1" applyBorder="1" applyAlignment="1">
      <alignment vertical="center"/>
    </xf>
    <xf numFmtId="0" fontId="120" fillId="42" borderId="36" xfId="0" applyFont="1" applyFill="1" applyBorder="1" applyAlignment="1">
      <alignment vertical="center"/>
    </xf>
    <xf numFmtId="0" fontId="120" fillId="42" borderId="37" xfId="0" applyFont="1" applyFill="1" applyBorder="1" applyAlignment="1">
      <alignment horizontal="center" vertical="center"/>
    </xf>
    <xf numFmtId="0" fontId="13" fillId="0" borderId="36" xfId="0" applyFont="1" applyBorder="1" applyAlignment="1">
      <alignment vertical="center"/>
    </xf>
    <xf numFmtId="0" fontId="13" fillId="0" borderId="43" xfId="0" applyFont="1" applyBorder="1" applyAlignment="1">
      <alignment vertical="center"/>
    </xf>
    <xf numFmtId="0" fontId="13" fillId="0" borderId="43" xfId="0" applyFont="1" applyBorder="1" applyAlignment="1">
      <alignment horizontal="center" vertical="center"/>
    </xf>
    <xf numFmtId="3" fontId="39" fillId="0" borderId="37" xfId="0" applyNumberFormat="1" applyFont="1" applyFill="1" applyBorder="1" applyAlignment="1">
      <alignment horizontal="center" vertical="center"/>
    </xf>
    <xf numFmtId="0" fontId="13" fillId="0" borderId="28" xfId="0" applyFont="1" applyFill="1" applyBorder="1" applyAlignment="1">
      <alignment vertical="center"/>
    </xf>
    <xf numFmtId="0" fontId="13" fillId="0" borderId="21" xfId="0" applyFont="1" applyBorder="1" applyAlignment="1">
      <alignment vertical="center"/>
    </xf>
    <xf numFmtId="0" fontId="13" fillId="0" borderId="21" xfId="0" applyFont="1" applyBorder="1" applyAlignment="1">
      <alignment horizontal="center" vertical="center"/>
    </xf>
    <xf numFmtId="0" fontId="13" fillId="0" borderId="22" xfId="0" applyFont="1" applyBorder="1" applyAlignment="1">
      <alignment vertical="center"/>
    </xf>
    <xf numFmtId="0" fontId="13" fillId="0" borderId="22" xfId="0" applyFont="1" applyBorder="1" applyAlignment="1">
      <alignment horizontal="center" vertical="center"/>
    </xf>
    <xf numFmtId="0" fontId="13" fillId="0" borderId="29" xfId="0" applyFont="1" applyBorder="1" applyAlignment="1">
      <alignment horizontal="center" vertical="center"/>
    </xf>
    <xf numFmtId="1" fontId="43" fillId="0" borderId="22" xfId="0" applyNumberFormat="1" applyFont="1" applyFill="1" applyBorder="1" applyAlignment="1">
      <alignment horizontal="center" vertical="center"/>
    </xf>
    <xf numFmtId="1" fontId="39" fillId="0" borderId="32" xfId="0" applyNumberFormat="1" applyFont="1" applyFill="1" applyBorder="1" applyAlignment="1">
      <alignment horizontal="center" vertical="center"/>
    </xf>
    <xf numFmtId="3" fontId="13" fillId="0" borderId="29" xfId="0" applyNumberFormat="1" applyFont="1" applyFill="1" applyBorder="1" applyAlignment="1">
      <alignment horizontal="center" vertical="center"/>
    </xf>
    <xf numFmtId="0" fontId="13" fillId="0" borderId="23" xfId="0" applyFont="1" applyBorder="1" applyAlignment="1">
      <alignment horizontal="center" vertical="center"/>
    </xf>
    <xf numFmtId="0" fontId="13" fillId="0" borderId="23" xfId="0" applyFont="1" applyBorder="1" applyAlignment="1">
      <alignment vertical="center"/>
    </xf>
    <xf numFmtId="0" fontId="44" fillId="0" borderId="23" xfId="0" applyFont="1" applyBorder="1" applyAlignment="1">
      <alignment horizontal="center" vertical="center"/>
    </xf>
    <xf numFmtId="1" fontId="39" fillId="0" borderId="29" xfId="0" applyNumberFormat="1" applyFont="1" applyFill="1" applyBorder="1" applyAlignment="1">
      <alignment horizontal="center" vertical="center"/>
    </xf>
    <xf numFmtId="0" fontId="39" fillId="40" borderId="44" xfId="0" applyFont="1" applyFill="1" applyBorder="1" applyAlignment="1">
      <alignment vertical="center"/>
    </xf>
    <xf numFmtId="0" fontId="13" fillId="40" borderId="45" xfId="0" applyFont="1" applyFill="1" applyBorder="1" applyAlignment="1">
      <alignment vertical="center"/>
    </xf>
    <xf numFmtId="0" fontId="13" fillId="40" borderId="45" xfId="0" applyFont="1" applyFill="1" applyBorder="1" applyAlignment="1">
      <alignment horizontal="center" vertical="center"/>
    </xf>
    <xf numFmtId="3" fontId="39" fillId="40" borderId="45" xfId="0" applyNumberFormat="1" applyFont="1" applyFill="1" applyBorder="1" applyAlignment="1">
      <alignment horizontal="center" vertical="center"/>
    </xf>
    <xf numFmtId="0" fontId="119" fillId="40" borderId="45" xfId="0" applyFont="1" applyFill="1" applyBorder="1" applyAlignment="1">
      <alignment horizontal="center" vertical="center"/>
    </xf>
    <xf numFmtId="3" fontId="39" fillId="40" borderId="46"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3" fillId="0" borderId="0" xfId="0" applyFont="1" applyAlignment="1">
      <alignment/>
    </xf>
    <xf numFmtId="0" fontId="39" fillId="0" borderId="0" xfId="0" applyFont="1" applyFill="1" applyAlignment="1">
      <alignment/>
    </xf>
    <xf numFmtId="0" fontId="13" fillId="0" borderId="0" xfId="0" applyFont="1" applyFill="1" applyBorder="1" applyAlignment="1">
      <alignment/>
    </xf>
    <xf numFmtId="0" fontId="47" fillId="0" borderId="0" xfId="0" applyFont="1" applyAlignment="1">
      <alignment/>
    </xf>
    <xf numFmtId="0" fontId="39" fillId="0" borderId="0" xfId="0" applyFont="1" applyAlignment="1">
      <alignment/>
    </xf>
    <xf numFmtId="0" fontId="13" fillId="0" borderId="0" xfId="0" applyFont="1" applyFill="1" applyAlignment="1">
      <alignment/>
    </xf>
    <xf numFmtId="0" fontId="48" fillId="0" borderId="0" xfId="0" applyFont="1" applyFill="1" applyAlignment="1">
      <alignment/>
    </xf>
    <xf numFmtId="0" fontId="49" fillId="0" borderId="0" xfId="0" applyFont="1" applyFill="1" applyAlignment="1">
      <alignment/>
    </xf>
    <xf numFmtId="0" fontId="117" fillId="42" borderId="33" xfId="0" applyFont="1" applyFill="1" applyBorder="1" applyAlignment="1">
      <alignment horizontal="center" vertical="center" wrapText="1"/>
    </xf>
    <xf numFmtId="0" fontId="117" fillId="42" borderId="41" xfId="0" applyFont="1" applyFill="1" applyBorder="1" applyAlignment="1">
      <alignment horizontal="center" vertical="center" wrapText="1"/>
    </xf>
    <xf numFmtId="0" fontId="118" fillId="42" borderId="41" xfId="0" applyFont="1" applyFill="1" applyBorder="1" applyAlignment="1">
      <alignment horizontal="center" vertical="center" wrapText="1"/>
    </xf>
    <xf numFmtId="0" fontId="117" fillId="42" borderId="34" xfId="0" applyFont="1" applyFill="1" applyBorder="1" applyAlignment="1">
      <alignment horizontal="center" vertical="center" wrapText="1"/>
    </xf>
    <xf numFmtId="0" fontId="13" fillId="0" borderId="0" xfId="0" applyFont="1" applyAlignment="1">
      <alignment horizontal="center" vertical="center" wrapText="1"/>
    </xf>
    <xf numFmtId="0" fontId="13" fillId="0" borderId="47" xfId="0" applyFont="1" applyFill="1" applyBorder="1" applyAlignment="1">
      <alignment/>
    </xf>
    <xf numFmtId="0" fontId="13" fillId="0" borderId="27" xfId="0" applyFont="1" applyFill="1" applyBorder="1" applyAlignment="1">
      <alignment/>
    </xf>
    <xf numFmtId="0" fontId="13" fillId="0" borderId="43" xfId="0" applyFont="1" applyFill="1" applyBorder="1" applyAlignment="1">
      <alignment/>
    </xf>
    <xf numFmtId="0" fontId="13" fillId="0" borderId="43" xfId="0" applyFont="1" applyFill="1" applyBorder="1" applyAlignment="1">
      <alignment horizontal="center"/>
    </xf>
    <xf numFmtId="0" fontId="38" fillId="0" borderId="43" xfId="0" applyFont="1" applyFill="1" applyBorder="1" applyAlignment="1">
      <alignment horizontal="center"/>
    </xf>
    <xf numFmtId="176" fontId="39" fillId="0" borderId="48" xfId="0" applyNumberFormat="1" applyFont="1" applyFill="1" applyBorder="1" applyAlignment="1">
      <alignment horizontal="center"/>
    </xf>
    <xf numFmtId="176" fontId="39" fillId="0" borderId="29" xfId="0" applyNumberFormat="1" applyFont="1" applyFill="1" applyBorder="1" applyAlignment="1">
      <alignment horizontal="center" vertical="center"/>
    </xf>
    <xf numFmtId="0" fontId="13" fillId="0" borderId="28" xfId="0" applyFont="1" applyFill="1" applyBorder="1" applyAlignment="1">
      <alignment horizontal="center"/>
    </xf>
    <xf numFmtId="0" fontId="13" fillId="0" borderId="49" xfId="0" applyFont="1" applyFill="1" applyBorder="1" applyAlignment="1">
      <alignment/>
    </xf>
    <xf numFmtId="0" fontId="13" fillId="0" borderId="22" xfId="0" applyFont="1" applyFill="1" applyBorder="1" applyAlignment="1">
      <alignment horizontal="center"/>
    </xf>
    <xf numFmtId="0" fontId="13" fillId="0" borderId="22" xfId="0" applyFont="1" applyFill="1" applyBorder="1" applyAlignment="1">
      <alignment/>
    </xf>
    <xf numFmtId="1" fontId="44" fillId="0" borderId="22" xfId="0" applyNumberFormat="1" applyFont="1" applyFill="1" applyBorder="1" applyAlignment="1">
      <alignment horizontal="center"/>
    </xf>
    <xf numFmtId="0" fontId="44" fillId="0" borderId="22" xfId="0" applyFont="1" applyFill="1" applyBorder="1" applyAlignment="1">
      <alignment horizontal="center"/>
    </xf>
    <xf numFmtId="0" fontId="13" fillId="43" borderId="22" xfId="0" applyFont="1" applyFill="1" applyBorder="1" applyAlignment="1">
      <alignment/>
    </xf>
    <xf numFmtId="1" fontId="44" fillId="0" borderId="22" xfId="0" applyNumberFormat="1" applyFont="1" applyFill="1" applyBorder="1" applyAlignment="1" quotePrefix="1">
      <alignment horizontal="center"/>
    </xf>
    <xf numFmtId="0" fontId="39" fillId="0" borderId="50" xfId="0" applyFont="1" applyFill="1" applyBorder="1" applyAlignment="1">
      <alignment horizontal="center"/>
    </xf>
    <xf numFmtId="0" fontId="39" fillId="0" borderId="50" xfId="0" applyFont="1" applyFill="1" applyBorder="1" applyAlignment="1">
      <alignment/>
    </xf>
    <xf numFmtId="0" fontId="13" fillId="0" borderId="10" xfId="0" applyFont="1" applyFill="1" applyBorder="1" applyAlignment="1">
      <alignment/>
    </xf>
    <xf numFmtId="0" fontId="13" fillId="0" borderId="10" xfId="0" applyFont="1" applyFill="1" applyBorder="1" applyAlignment="1">
      <alignment horizontal="center"/>
    </xf>
    <xf numFmtId="0" fontId="13" fillId="0" borderId="28" xfId="0" applyFont="1" applyFill="1" applyBorder="1" applyAlignment="1">
      <alignment/>
    </xf>
    <xf numFmtId="0" fontId="13" fillId="0" borderId="21" xfId="0" applyFont="1" applyFill="1" applyBorder="1" applyAlignment="1">
      <alignment/>
    </xf>
    <xf numFmtId="0" fontId="13" fillId="0" borderId="0" xfId="0" applyFont="1" applyFill="1" applyBorder="1" applyAlignment="1">
      <alignment horizontal="center"/>
    </xf>
    <xf numFmtId="0" fontId="13" fillId="0" borderId="26" xfId="0" applyFont="1" applyFill="1" applyBorder="1" applyAlignment="1">
      <alignment/>
    </xf>
    <xf numFmtId="2" fontId="13" fillId="0" borderId="26" xfId="0" applyNumberFormat="1" applyFont="1" applyFill="1" applyBorder="1" applyAlignment="1">
      <alignment horizontal="center"/>
    </xf>
    <xf numFmtId="0" fontId="13" fillId="0" borderId="26" xfId="0" applyFont="1" applyFill="1" applyBorder="1" applyAlignment="1">
      <alignment horizontal="center"/>
    </xf>
    <xf numFmtId="0" fontId="13" fillId="43" borderId="28" xfId="0" applyFont="1" applyFill="1" applyBorder="1" applyAlignment="1">
      <alignment horizontal="center"/>
    </xf>
    <xf numFmtId="0" fontId="13" fillId="0" borderId="17" xfId="0" applyFont="1" applyFill="1" applyBorder="1" applyAlignment="1">
      <alignment/>
    </xf>
    <xf numFmtId="0" fontId="44" fillId="0" borderId="17" xfId="0" applyFont="1" applyFill="1" applyBorder="1" applyAlignment="1">
      <alignment horizontal="center"/>
    </xf>
    <xf numFmtId="0" fontId="13" fillId="0" borderId="23" xfId="0" applyFont="1" applyFill="1" applyBorder="1" applyAlignment="1">
      <alignment horizontal="center"/>
    </xf>
    <xf numFmtId="0" fontId="13" fillId="0" borderId="20" xfId="0" applyFont="1" applyFill="1" applyBorder="1" applyAlignment="1">
      <alignment/>
    </xf>
    <xf numFmtId="0" fontId="13" fillId="0" borderId="23" xfId="0" applyFont="1" applyFill="1" applyBorder="1" applyAlignment="1">
      <alignment/>
    </xf>
    <xf numFmtId="0" fontId="44" fillId="0" borderId="20" xfId="0" applyFont="1" applyFill="1" applyBorder="1" applyAlignment="1">
      <alignment horizontal="center"/>
    </xf>
    <xf numFmtId="0" fontId="39" fillId="40" borderId="41" xfId="0" applyFont="1" applyFill="1" applyBorder="1" applyAlignment="1">
      <alignment/>
    </xf>
    <xf numFmtId="0" fontId="13" fillId="40" borderId="41" xfId="0" applyFont="1" applyFill="1" applyBorder="1" applyAlignment="1">
      <alignment/>
    </xf>
    <xf numFmtId="0" fontId="13" fillId="40" borderId="41" xfId="0" applyFont="1" applyFill="1" applyBorder="1" applyAlignment="1">
      <alignment horizontal="center"/>
    </xf>
    <xf numFmtId="0" fontId="13" fillId="0" borderId="0" xfId="0" applyFont="1" applyFill="1" applyAlignment="1" quotePrefix="1">
      <alignment/>
    </xf>
    <xf numFmtId="2" fontId="39" fillId="0" borderId="0" xfId="0" applyNumberFormat="1" applyFont="1" applyFill="1" applyAlignment="1">
      <alignment/>
    </xf>
    <xf numFmtId="0" fontId="39" fillId="0" borderId="0" xfId="0" applyFont="1" applyFill="1" applyBorder="1" applyAlignment="1">
      <alignment/>
    </xf>
    <xf numFmtId="0" fontId="121" fillId="44" borderId="33" xfId="0" applyFont="1" applyFill="1" applyBorder="1" applyAlignment="1">
      <alignment horizontal="center"/>
    </xf>
    <xf numFmtId="0" fontId="121" fillId="44" borderId="35" xfId="0" applyFont="1" applyFill="1" applyBorder="1" applyAlignment="1">
      <alignment horizontal="center"/>
    </xf>
    <xf numFmtId="0" fontId="121" fillId="0" borderId="0" xfId="0" applyFont="1" applyFill="1" applyBorder="1" applyAlignment="1">
      <alignment horizontal="center"/>
    </xf>
    <xf numFmtId="174" fontId="13" fillId="0" borderId="29" xfId="0" applyNumberFormat="1" applyFont="1" applyFill="1" applyBorder="1" applyAlignment="1">
      <alignment/>
    </xf>
    <xf numFmtId="0" fontId="13" fillId="0" borderId="29" xfId="0" applyFont="1" applyFill="1" applyBorder="1" applyAlignment="1">
      <alignment/>
    </xf>
    <xf numFmtId="1" fontId="13" fillId="0" borderId="0" xfId="0" applyNumberFormat="1" applyFont="1" applyFill="1" applyBorder="1" applyAlignment="1">
      <alignment/>
    </xf>
    <xf numFmtId="0" fontId="13" fillId="0" borderId="51" xfId="0" applyFont="1" applyFill="1" applyBorder="1" applyAlignment="1">
      <alignment/>
    </xf>
    <xf numFmtId="174" fontId="13" fillId="0" borderId="52" xfId="0" applyNumberFormat="1" applyFont="1" applyFill="1" applyBorder="1" applyAlignment="1">
      <alignment/>
    </xf>
    <xf numFmtId="0" fontId="13" fillId="0" borderId="52" xfId="0" applyFont="1" applyFill="1" applyBorder="1" applyAlignment="1">
      <alignment/>
    </xf>
    <xf numFmtId="0" fontId="13" fillId="0" borderId="0" xfId="120" applyFont="1" applyFill="1" applyAlignment="1">
      <alignment horizontal="center"/>
      <protection/>
    </xf>
    <xf numFmtId="0" fontId="13" fillId="0" borderId="0" xfId="120" applyFont="1">
      <alignment/>
      <protection/>
    </xf>
    <xf numFmtId="0" fontId="39" fillId="0" borderId="0" xfId="120" applyFont="1" applyFill="1">
      <alignment/>
      <protection/>
    </xf>
    <xf numFmtId="0" fontId="39" fillId="0" borderId="0" xfId="120" applyFont="1" applyFill="1" applyAlignment="1">
      <alignment horizontal="center"/>
      <protection/>
    </xf>
    <xf numFmtId="0" fontId="13" fillId="0" borderId="0" xfId="120" applyFont="1" applyFill="1">
      <alignment/>
      <protection/>
    </xf>
    <xf numFmtId="0" fontId="41" fillId="0" borderId="0" xfId="120" applyFont="1" applyAlignment="1">
      <alignment vertical="center"/>
      <protection/>
    </xf>
    <xf numFmtId="0" fontId="39" fillId="0" borderId="0" xfId="120" applyFont="1">
      <alignment/>
      <protection/>
    </xf>
    <xf numFmtId="0" fontId="39" fillId="0" borderId="0" xfId="120" applyFont="1" applyFill="1" applyAlignment="1">
      <alignment horizontal="center" wrapText="1"/>
      <protection/>
    </xf>
    <xf numFmtId="0" fontId="117" fillId="42" borderId="35" xfId="120" applyFont="1" applyFill="1" applyBorder="1" applyAlignment="1">
      <alignment horizontal="center" vertical="center"/>
      <protection/>
    </xf>
    <xf numFmtId="0" fontId="117" fillId="42" borderId="38" xfId="120" applyFont="1" applyFill="1" applyBorder="1" applyAlignment="1">
      <alignment horizontal="center" vertical="center"/>
      <protection/>
    </xf>
    <xf numFmtId="0" fontId="118" fillId="42" borderId="38" xfId="120" applyFont="1" applyFill="1" applyBorder="1" applyAlignment="1">
      <alignment horizontal="center" vertical="center" wrapText="1"/>
      <protection/>
    </xf>
    <xf numFmtId="0" fontId="117" fillId="42" borderId="38" xfId="120" applyFont="1" applyFill="1" applyBorder="1" applyAlignment="1">
      <alignment horizontal="center" vertical="center" wrapText="1"/>
      <protection/>
    </xf>
    <xf numFmtId="0" fontId="117" fillId="42" borderId="35" xfId="120" applyFont="1" applyFill="1" applyBorder="1" applyAlignment="1">
      <alignment horizontal="center" vertical="center" wrapText="1"/>
      <protection/>
    </xf>
    <xf numFmtId="0" fontId="13" fillId="0" borderId="28" xfId="120" applyFont="1" applyFill="1" applyBorder="1" applyAlignment="1">
      <alignment horizontal="center"/>
      <protection/>
    </xf>
    <xf numFmtId="0" fontId="13" fillId="0" borderId="49" xfId="120" applyFont="1" applyBorder="1">
      <alignment/>
      <protection/>
    </xf>
    <xf numFmtId="0" fontId="13" fillId="0" borderId="22" xfId="120" applyFont="1" applyBorder="1">
      <alignment/>
      <protection/>
    </xf>
    <xf numFmtId="0" fontId="13" fillId="0" borderId="22" xfId="120" applyFont="1" applyBorder="1" applyAlignment="1">
      <alignment vertical="center"/>
      <protection/>
    </xf>
    <xf numFmtId="0" fontId="39" fillId="0" borderId="32" xfId="120" applyFont="1" applyFill="1" applyBorder="1" applyAlignment="1">
      <alignment horizontal="center"/>
      <protection/>
    </xf>
    <xf numFmtId="0" fontId="39" fillId="39" borderId="35" xfId="120" applyFont="1" applyFill="1" applyBorder="1">
      <alignment/>
      <protection/>
    </xf>
    <xf numFmtId="0" fontId="13" fillId="0" borderId="49" xfId="121" applyFont="1" applyFill="1" applyBorder="1">
      <alignment/>
      <protection/>
    </xf>
    <xf numFmtId="0" fontId="13" fillId="0" borderId="22" xfId="121" applyFont="1" applyFill="1" applyBorder="1">
      <alignment/>
      <protection/>
    </xf>
    <xf numFmtId="0" fontId="13" fillId="0" borderId="22" xfId="121" applyFont="1" applyFill="1" applyBorder="1" applyAlignment="1">
      <alignment horizontal="center"/>
      <protection/>
    </xf>
    <xf numFmtId="0" fontId="44" fillId="0" borderId="22" xfId="120" applyFont="1" applyFill="1" applyBorder="1" applyAlignment="1">
      <alignment vertical="center"/>
      <protection/>
    </xf>
    <xf numFmtId="177" fontId="43" fillId="0" borderId="22" xfId="115" applyNumberFormat="1" applyFont="1" applyFill="1" applyBorder="1" applyAlignment="1">
      <alignment vertical="center"/>
    </xf>
    <xf numFmtId="1" fontId="13" fillId="0" borderId="32" xfId="120" applyNumberFormat="1" applyFont="1" applyFill="1" applyBorder="1" applyAlignment="1">
      <alignment horizontal="center"/>
      <protection/>
    </xf>
    <xf numFmtId="0" fontId="122" fillId="0" borderId="0" xfId="120" applyFont="1" applyFill="1">
      <alignment/>
      <protection/>
    </xf>
    <xf numFmtId="0" fontId="13" fillId="0" borderId="53" xfId="120" applyFont="1" applyBorder="1">
      <alignment/>
      <protection/>
    </xf>
    <xf numFmtId="0" fontId="13" fillId="0" borderId="54" xfId="120" applyFont="1" applyBorder="1">
      <alignment/>
      <protection/>
    </xf>
    <xf numFmtId="0" fontId="13" fillId="0" borderId="54" xfId="120" applyFont="1" applyBorder="1" applyAlignment="1">
      <alignment horizontal="center"/>
      <protection/>
    </xf>
    <xf numFmtId="169" fontId="38" fillId="0" borderId="54" xfId="120" applyNumberFormat="1" applyFont="1" applyBorder="1" applyAlignment="1">
      <alignment vertical="center"/>
      <protection/>
    </xf>
    <xf numFmtId="177" fontId="13" fillId="0" borderId="54" xfId="120" applyNumberFormat="1" applyFont="1" applyFill="1" applyBorder="1" applyAlignment="1">
      <alignment vertical="center"/>
      <protection/>
    </xf>
    <xf numFmtId="169" fontId="39" fillId="0" borderId="32" xfId="120" applyNumberFormat="1" applyFont="1" applyFill="1" applyBorder="1" applyAlignment="1">
      <alignment horizontal="center"/>
      <protection/>
    </xf>
    <xf numFmtId="0" fontId="46" fillId="0" borderId="40" xfId="120" applyFont="1" applyFill="1" applyBorder="1" applyAlignment="1">
      <alignment horizontal="center"/>
      <protection/>
    </xf>
    <xf numFmtId="0" fontId="39" fillId="45" borderId="41" xfId="120" applyFont="1" applyFill="1" applyBorder="1">
      <alignment/>
      <protection/>
    </xf>
    <xf numFmtId="0" fontId="13" fillId="45" borderId="41" xfId="120" applyFont="1" applyFill="1" applyBorder="1">
      <alignment/>
      <protection/>
    </xf>
    <xf numFmtId="169" fontId="42" fillId="45" borderId="41" xfId="120" applyNumberFormat="1" applyFont="1" applyFill="1" applyBorder="1" applyAlignment="1">
      <alignment vertical="center"/>
      <protection/>
    </xf>
    <xf numFmtId="169" fontId="39" fillId="0" borderId="55" xfId="120" applyNumberFormat="1" applyFont="1" applyFill="1" applyBorder="1" applyAlignment="1">
      <alignment horizontal="center"/>
      <protection/>
    </xf>
    <xf numFmtId="0" fontId="13" fillId="0" borderId="0" xfId="120" applyFont="1" applyFill="1" applyBorder="1" applyAlignment="1">
      <alignment horizontal="center"/>
      <protection/>
    </xf>
    <xf numFmtId="0" fontId="13" fillId="0" borderId="0" xfId="120" applyFont="1" applyBorder="1">
      <alignment/>
      <protection/>
    </xf>
    <xf numFmtId="0" fontId="13" fillId="0" borderId="0" xfId="120" applyFont="1" applyBorder="1" applyAlignment="1">
      <alignment horizontal="center"/>
      <protection/>
    </xf>
    <xf numFmtId="169" fontId="38" fillId="0" borderId="0" xfId="120" applyNumberFormat="1" applyFont="1" applyBorder="1" applyAlignment="1">
      <alignment vertical="center"/>
      <protection/>
    </xf>
    <xf numFmtId="174" fontId="39" fillId="0" borderId="0" xfId="120" applyNumberFormat="1" applyFont="1" applyFill="1" applyBorder="1" applyAlignment="1">
      <alignment vertical="center"/>
      <protection/>
    </xf>
    <xf numFmtId="169" fontId="39" fillId="0" borderId="0" xfId="120" applyNumberFormat="1" applyFont="1" applyFill="1" applyBorder="1" applyAlignment="1">
      <alignment horizontal="center"/>
      <protection/>
    </xf>
    <xf numFmtId="0" fontId="13" fillId="0" borderId="0" xfId="120" applyFont="1" applyFill="1" applyBorder="1">
      <alignment/>
      <protection/>
    </xf>
    <xf numFmtId="0" fontId="38" fillId="0" borderId="0" xfId="120" applyFont="1" applyBorder="1" applyAlignment="1">
      <alignment vertical="center"/>
      <protection/>
    </xf>
    <xf numFmtId="176" fontId="13" fillId="0" borderId="0" xfId="120" applyNumberFormat="1" applyFont="1" applyFill="1" applyBorder="1" applyAlignment="1">
      <alignment vertical="center"/>
      <protection/>
    </xf>
    <xf numFmtId="176" fontId="39" fillId="0" borderId="0" xfId="120" applyNumberFormat="1" applyFont="1" applyFill="1" applyBorder="1" applyAlignment="1">
      <alignment horizontal="center"/>
      <protection/>
    </xf>
    <xf numFmtId="0" fontId="13" fillId="0" borderId="47" xfId="120" applyFont="1" applyFill="1" applyBorder="1" applyAlignment="1">
      <alignment horizontal="center"/>
      <protection/>
    </xf>
    <xf numFmtId="0" fontId="39" fillId="39" borderId="33" xfId="120" applyFont="1" applyFill="1" applyBorder="1">
      <alignment/>
      <protection/>
    </xf>
    <xf numFmtId="0" fontId="39" fillId="0" borderId="43" xfId="120" applyFont="1" applyFill="1" applyBorder="1">
      <alignment/>
      <protection/>
    </xf>
    <xf numFmtId="0" fontId="13" fillId="0" borderId="43" xfId="120" applyFont="1" applyBorder="1">
      <alignment/>
      <protection/>
    </xf>
    <xf numFmtId="0" fontId="38" fillId="0" borderId="43" xfId="120" applyFont="1" applyBorder="1" applyAlignment="1">
      <alignment vertical="center"/>
      <protection/>
    </xf>
    <xf numFmtId="176" fontId="13" fillId="0" borderId="43" xfId="120" applyNumberFormat="1" applyFont="1" applyFill="1" applyBorder="1" applyAlignment="1">
      <alignment vertical="center"/>
      <protection/>
    </xf>
    <xf numFmtId="176" fontId="39" fillId="0" borderId="38" xfId="120" applyNumberFormat="1" applyFont="1" applyFill="1" applyBorder="1" applyAlignment="1">
      <alignment horizontal="center"/>
      <protection/>
    </xf>
    <xf numFmtId="0" fontId="13" fillId="0" borderId="28" xfId="120" applyFont="1" applyBorder="1">
      <alignment/>
      <protection/>
    </xf>
    <xf numFmtId="0" fontId="38" fillId="0" borderId="22" xfId="120" applyFont="1" applyBorder="1" applyAlignment="1">
      <alignment vertical="center"/>
      <protection/>
    </xf>
    <xf numFmtId="3" fontId="13" fillId="0" borderId="22" xfId="120" applyNumberFormat="1" applyFont="1" applyFill="1" applyBorder="1" applyAlignment="1">
      <alignment vertical="center"/>
      <protection/>
    </xf>
    <xf numFmtId="176" fontId="39" fillId="0" borderId="29" xfId="120" applyNumberFormat="1" applyFont="1" applyFill="1" applyBorder="1" applyAlignment="1">
      <alignment horizontal="center"/>
      <protection/>
    </xf>
    <xf numFmtId="0" fontId="13" fillId="0" borderId="28" xfId="120" applyFont="1" applyFill="1" applyBorder="1">
      <alignment/>
      <protection/>
    </xf>
    <xf numFmtId="0" fontId="44" fillId="0" borderId="22" xfId="120" applyFont="1" applyBorder="1" applyAlignment="1">
      <alignment vertical="center"/>
      <protection/>
    </xf>
    <xf numFmtId="1" fontId="13" fillId="0" borderId="29" xfId="120" applyNumberFormat="1" applyFont="1" applyFill="1" applyBorder="1" applyAlignment="1">
      <alignment horizontal="center"/>
      <protection/>
    </xf>
    <xf numFmtId="0" fontId="13" fillId="0" borderId="22" xfId="120" applyFont="1" applyBorder="1" applyAlignment="1">
      <alignment horizontal="center"/>
      <protection/>
    </xf>
    <xf numFmtId="2" fontId="44" fillId="0" borderId="22" xfId="120" applyNumberFormat="1" applyFont="1" applyBorder="1" applyAlignment="1">
      <alignment vertical="center"/>
      <protection/>
    </xf>
    <xf numFmtId="0" fontId="13" fillId="0" borderId="22" xfId="120" applyFont="1" applyFill="1" applyBorder="1">
      <alignment/>
      <protection/>
    </xf>
    <xf numFmtId="0" fontId="13" fillId="0" borderId="22" xfId="120" applyFont="1" applyFill="1" applyBorder="1" applyAlignment="1">
      <alignment horizontal="center"/>
      <protection/>
    </xf>
    <xf numFmtId="176" fontId="43" fillId="0" borderId="22" xfId="120" applyNumberFormat="1" applyFont="1" applyFill="1" applyBorder="1" applyAlignment="1">
      <alignment vertical="center"/>
      <protection/>
    </xf>
    <xf numFmtId="0" fontId="13" fillId="0" borderId="23" xfId="120" applyFont="1" applyBorder="1">
      <alignment/>
      <protection/>
    </xf>
    <xf numFmtId="0" fontId="13" fillId="0" borderId="23" xfId="121" applyFont="1" applyFill="1" applyBorder="1">
      <alignment/>
      <protection/>
    </xf>
    <xf numFmtId="2" fontId="44" fillId="0" borderId="23" xfId="120" applyNumberFormat="1" applyFont="1" applyBorder="1" applyAlignment="1">
      <alignment vertical="center"/>
      <protection/>
    </xf>
    <xf numFmtId="176" fontId="43" fillId="0" borderId="23" xfId="120" applyNumberFormat="1" applyFont="1" applyFill="1" applyBorder="1" applyAlignment="1">
      <alignment vertical="center"/>
      <protection/>
    </xf>
    <xf numFmtId="3" fontId="39" fillId="0" borderId="29" xfId="120" applyNumberFormat="1" applyFont="1" applyFill="1" applyBorder="1" applyAlignment="1">
      <alignment horizontal="center"/>
      <protection/>
    </xf>
    <xf numFmtId="0" fontId="46" fillId="0" borderId="56" xfId="120" applyFont="1" applyFill="1" applyBorder="1" applyAlignment="1">
      <alignment horizontal="center"/>
      <protection/>
    </xf>
    <xf numFmtId="0" fontId="39" fillId="45" borderId="44" xfId="120" applyFont="1" applyFill="1" applyBorder="1">
      <alignment/>
      <protection/>
    </xf>
    <xf numFmtId="0" fontId="39" fillId="45" borderId="45" xfId="120" applyFont="1" applyFill="1" applyBorder="1">
      <alignment/>
      <protection/>
    </xf>
    <xf numFmtId="3" fontId="39" fillId="0" borderId="42" xfId="120" applyNumberFormat="1" applyFont="1" applyFill="1" applyBorder="1" applyAlignment="1">
      <alignment horizontal="center"/>
      <protection/>
    </xf>
    <xf numFmtId="3" fontId="13" fillId="0" borderId="0" xfId="120" applyNumberFormat="1" applyFont="1" applyFill="1">
      <alignment/>
      <protection/>
    </xf>
    <xf numFmtId="0" fontId="39" fillId="45" borderId="33" xfId="120" applyFont="1" applyFill="1" applyBorder="1">
      <alignment/>
      <protection/>
    </xf>
    <xf numFmtId="0" fontId="13" fillId="0" borderId="0" xfId="120" applyFont="1" applyAlignment="1" quotePrefix="1">
      <alignment/>
      <protection/>
    </xf>
    <xf numFmtId="0" fontId="13" fillId="0" borderId="0" xfId="120" applyFont="1" applyAlignment="1">
      <alignment/>
      <protection/>
    </xf>
    <xf numFmtId="0" fontId="39" fillId="0" borderId="0" xfId="0" applyFont="1" applyFill="1" applyBorder="1" applyAlignment="1">
      <alignment horizontal="center"/>
    </xf>
    <xf numFmtId="0" fontId="123" fillId="0" borderId="0" xfId="0" applyFont="1" applyAlignment="1">
      <alignment vertical="center"/>
    </xf>
    <xf numFmtId="0" fontId="50" fillId="0" borderId="0" xfId="0" applyFont="1" applyFill="1" applyAlignment="1">
      <alignment vertical="center"/>
    </xf>
    <xf numFmtId="0" fontId="117" fillId="42" borderId="47" xfId="0" applyFont="1" applyFill="1" applyBorder="1" applyAlignment="1">
      <alignment horizontal="center" vertical="center" wrapText="1"/>
    </xf>
    <xf numFmtId="0" fontId="13" fillId="0" borderId="0" xfId="0" applyFont="1" applyAlignment="1">
      <alignment horizontal="center"/>
    </xf>
    <xf numFmtId="0" fontId="39" fillId="0" borderId="0" xfId="0" applyFont="1" applyAlignment="1">
      <alignment horizontal="center"/>
    </xf>
    <xf numFmtId="0" fontId="42" fillId="0" borderId="0" xfId="0" applyFont="1" applyAlignment="1">
      <alignment horizontal="center"/>
    </xf>
    <xf numFmtId="0" fontId="39" fillId="0" borderId="0" xfId="0" applyFont="1" applyFill="1" applyAlignment="1">
      <alignment horizontal="center"/>
    </xf>
    <xf numFmtId="0" fontId="39" fillId="0" borderId="0" xfId="0" applyFont="1" applyFill="1" applyAlignment="1">
      <alignment horizontal="center" wrapText="1"/>
    </xf>
    <xf numFmtId="0" fontId="117" fillId="0" borderId="47" xfId="0" applyFont="1" applyFill="1" applyBorder="1" applyAlignment="1">
      <alignment vertical="center"/>
    </xf>
    <xf numFmtId="0" fontId="39" fillId="0" borderId="36" xfId="0" applyFont="1" applyFill="1" applyBorder="1" applyAlignment="1">
      <alignment vertical="center"/>
    </xf>
    <xf numFmtId="0" fontId="39" fillId="0" borderId="36" xfId="0" applyFont="1" applyFill="1" applyBorder="1" applyAlignment="1">
      <alignment horizontal="center" vertical="center"/>
    </xf>
    <xf numFmtId="0" fontId="42" fillId="0" borderId="36" xfId="0" applyFont="1" applyFill="1" applyBorder="1" applyAlignment="1">
      <alignment horizontal="center" vertical="center"/>
    </xf>
    <xf numFmtId="14" fontId="13" fillId="0" borderId="0" xfId="0" applyNumberFormat="1" applyFont="1" applyFill="1" applyBorder="1" applyAlignment="1">
      <alignment horizontal="center" vertical="center"/>
    </xf>
    <xf numFmtId="0" fontId="13" fillId="0" borderId="0" xfId="121" applyFont="1" applyFill="1" applyBorder="1">
      <alignment/>
      <protection/>
    </xf>
    <xf numFmtId="0" fontId="44" fillId="0" borderId="0" xfId="0" applyFont="1" applyFill="1" applyBorder="1" applyAlignment="1">
      <alignment horizontal="center" vertical="center"/>
    </xf>
    <xf numFmtId="176" fontId="43" fillId="0" borderId="0"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0" fontId="13" fillId="0" borderId="51" xfId="0" applyFont="1" applyFill="1" applyBorder="1" applyAlignment="1">
      <alignment vertical="center"/>
    </xf>
    <xf numFmtId="0" fontId="13" fillId="0" borderId="57" xfId="0" applyFont="1" applyFill="1" applyBorder="1" applyAlignment="1">
      <alignment horizontal="center" vertical="center"/>
    </xf>
    <xf numFmtId="0" fontId="13" fillId="0" borderId="57" xfId="121" applyFont="1" applyFill="1" applyBorder="1">
      <alignment/>
      <protection/>
    </xf>
    <xf numFmtId="0" fontId="44" fillId="0" borderId="57" xfId="0" applyFont="1" applyFill="1" applyBorder="1" applyAlignment="1">
      <alignment horizontal="center" vertical="center"/>
    </xf>
    <xf numFmtId="176" fontId="43" fillId="0" borderId="57" xfId="0" applyNumberFormat="1" applyFont="1" applyFill="1" applyBorder="1" applyAlignment="1">
      <alignment horizontal="center" vertical="center"/>
    </xf>
    <xf numFmtId="176" fontId="13" fillId="0" borderId="57" xfId="0" applyNumberFormat="1" applyFont="1" applyFill="1" applyBorder="1" applyAlignment="1">
      <alignment horizontal="center" vertical="center"/>
    </xf>
    <xf numFmtId="1" fontId="13" fillId="0" borderId="42" xfId="0" applyNumberFormat="1" applyFont="1" applyFill="1" applyBorder="1" applyAlignment="1">
      <alignment horizontal="center" vertical="center"/>
    </xf>
    <xf numFmtId="0" fontId="46" fillId="0" borderId="35" xfId="0" applyFont="1" applyFill="1" applyBorder="1" applyAlignment="1">
      <alignment horizontal="center"/>
    </xf>
    <xf numFmtId="0" fontId="39" fillId="45" borderId="33" xfId="0" applyFont="1" applyFill="1" applyBorder="1" applyAlignment="1">
      <alignment vertical="center"/>
    </xf>
    <xf numFmtId="0" fontId="13" fillId="45" borderId="41" xfId="0" applyFont="1" applyFill="1" applyBorder="1" applyAlignment="1">
      <alignment horizontal="center" vertical="center"/>
    </xf>
    <xf numFmtId="0" fontId="13" fillId="45" borderId="41" xfId="0" applyFont="1" applyFill="1" applyBorder="1" applyAlignment="1">
      <alignment vertical="center"/>
    </xf>
    <xf numFmtId="0" fontId="38" fillId="45" borderId="41" xfId="0" applyFont="1" applyFill="1" applyBorder="1" applyAlignment="1">
      <alignment horizontal="center" vertical="center"/>
    </xf>
    <xf numFmtId="176" fontId="39" fillId="45" borderId="41" xfId="0" applyNumberFormat="1" applyFont="1" applyFill="1" applyBorder="1" applyAlignment="1">
      <alignment horizontal="center" vertical="center"/>
    </xf>
    <xf numFmtId="176" fontId="39" fillId="45" borderId="34" xfId="0" applyNumberFormat="1" applyFont="1" applyFill="1" applyBorder="1" applyAlignment="1">
      <alignment horizontal="center" vertical="center"/>
    </xf>
    <xf numFmtId="3" fontId="39" fillId="0" borderId="35" xfId="0" applyNumberFormat="1" applyFont="1" applyFill="1" applyBorder="1" applyAlignment="1">
      <alignment horizontal="center" vertical="center"/>
    </xf>
    <xf numFmtId="0" fontId="50" fillId="0" borderId="0" xfId="0" applyFont="1" applyFill="1" applyBorder="1" applyAlignment="1">
      <alignment vertical="center"/>
    </xf>
    <xf numFmtId="216" fontId="0" fillId="0" borderId="0" xfId="0" applyNumberFormat="1" applyFont="1" applyBorder="1" applyAlignment="1">
      <alignment/>
    </xf>
    <xf numFmtId="0" fontId="0" fillId="0" borderId="57" xfId="0" applyFont="1" applyBorder="1" applyAlignment="1">
      <alignment/>
    </xf>
    <xf numFmtId="216" fontId="13" fillId="0" borderId="0" xfId="0" applyNumberFormat="1" applyFont="1" applyFill="1" applyBorder="1" applyAlignment="1">
      <alignment horizontal="center" vertical="center"/>
    </xf>
    <xf numFmtId="0" fontId="13" fillId="0" borderId="0" xfId="0" applyFont="1" applyFill="1" applyBorder="1" applyAlignment="1">
      <alignment horizontal="left"/>
    </xf>
    <xf numFmtId="1" fontId="13" fillId="0" borderId="32" xfId="0" applyNumberFormat="1" applyFont="1" applyFill="1" applyBorder="1" applyAlignment="1">
      <alignment horizontal="center" vertical="center"/>
    </xf>
    <xf numFmtId="216" fontId="13" fillId="0" borderId="0" xfId="0" applyNumberFormat="1" applyFont="1" applyBorder="1" applyAlignment="1">
      <alignment horizontal="center"/>
    </xf>
    <xf numFmtId="0" fontId="39" fillId="45" borderId="44" xfId="0" applyFont="1" applyFill="1" applyBorder="1" applyAlignment="1">
      <alignment/>
    </xf>
    <xf numFmtId="0" fontId="13" fillId="45" borderId="45" xfId="0" applyFont="1" applyFill="1" applyBorder="1" applyAlignment="1">
      <alignment horizontal="center" vertical="center"/>
    </xf>
    <xf numFmtId="216" fontId="13" fillId="45" borderId="45" xfId="0" applyNumberFormat="1" applyFont="1" applyFill="1" applyBorder="1" applyAlignment="1">
      <alignment horizontal="center" vertical="center"/>
    </xf>
    <xf numFmtId="0" fontId="13" fillId="45" borderId="45" xfId="0" applyFont="1" applyFill="1" applyBorder="1" applyAlignment="1">
      <alignment vertical="center"/>
    </xf>
    <xf numFmtId="176" fontId="39" fillId="45" borderId="45" xfId="0" applyNumberFormat="1" applyFont="1" applyFill="1" applyBorder="1" applyAlignment="1">
      <alignment horizontal="center" vertical="center"/>
    </xf>
    <xf numFmtId="176" fontId="39" fillId="45" borderId="46" xfId="0" applyNumberFormat="1" applyFont="1" applyFill="1" applyBorder="1" applyAlignment="1">
      <alignment horizontal="center" vertical="center"/>
    </xf>
    <xf numFmtId="3" fontId="39" fillId="0" borderId="55" xfId="0" applyNumberFormat="1" applyFont="1" applyFill="1" applyBorder="1" applyAlignment="1">
      <alignment horizontal="center" vertical="center"/>
    </xf>
    <xf numFmtId="0" fontId="13" fillId="0" borderId="0" xfId="0" applyFont="1" applyBorder="1" applyAlignment="1">
      <alignment horizontal="center"/>
    </xf>
    <xf numFmtId="0" fontId="38" fillId="0" borderId="0" xfId="0" applyFont="1" applyFill="1" applyBorder="1" applyAlignment="1">
      <alignment horizontal="center"/>
    </xf>
    <xf numFmtId="176" fontId="39" fillId="0" borderId="0" xfId="0" applyNumberFormat="1" applyFont="1" applyFill="1" applyBorder="1" applyAlignment="1">
      <alignment horizontal="center"/>
    </xf>
    <xf numFmtId="176" fontId="39" fillId="0" borderId="0" xfId="0" applyNumberFormat="1" applyFont="1" applyFill="1" applyBorder="1" applyAlignment="1">
      <alignment horizontal="center" vertical="center"/>
    </xf>
    <xf numFmtId="1" fontId="44" fillId="0" borderId="43" xfId="0" applyNumberFormat="1" applyFont="1" applyFill="1" applyBorder="1" applyAlignment="1">
      <alignment horizontal="center"/>
    </xf>
    <xf numFmtId="0" fontId="13" fillId="0" borderId="43" xfId="0" applyFont="1" applyFill="1" applyBorder="1" applyAlignment="1">
      <alignment horizontal="center" wrapText="1"/>
    </xf>
    <xf numFmtId="2" fontId="43" fillId="0" borderId="43" xfId="0" applyNumberFormat="1" applyFont="1" applyFill="1" applyBorder="1" applyAlignment="1">
      <alignment horizontal="center"/>
    </xf>
    <xf numFmtId="2" fontId="13" fillId="0" borderId="43" xfId="0" applyNumberFormat="1" applyFont="1" applyFill="1" applyBorder="1" applyAlignment="1">
      <alignment horizontal="center"/>
    </xf>
    <xf numFmtId="1" fontId="13" fillId="0" borderId="38" xfId="0" applyNumberFormat="1" applyFont="1" applyFill="1" applyBorder="1" applyAlignment="1">
      <alignment horizontal="center" vertical="center"/>
    </xf>
    <xf numFmtId="0" fontId="13" fillId="0" borderId="58" xfId="0" applyFont="1" applyFill="1" applyBorder="1" applyAlignment="1">
      <alignment/>
    </xf>
    <xf numFmtId="1" fontId="44" fillId="0" borderId="23" xfId="0" applyNumberFormat="1" applyFont="1" applyFill="1" applyBorder="1" applyAlignment="1">
      <alignment horizontal="center"/>
    </xf>
    <xf numFmtId="2" fontId="43" fillId="0" borderId="23" xfId="0" applyNumberFormat="1" applyFont="1" applyFill="1" applyBorder="1" applyAlignment="1">
      <alignment horizontal="center"/>
    </xf>
    <xf numFmtId="4" fontId="39" fillId="0" borderId="59" xfId="0" applyNumberFormat="1" applyFont="1" applyFill="1" applyBorder="1" applyAlignment="1">
      <alignment horizontal="center"/>
    </xf>
    <xf numFmtId="0" fontId="39" fillId="45" borderId="45" xfId="0" applyFont="1" applyFill="1" applyBorder="1" applyAlignment="1">
      <alignment/>
    </xf>
    <xf numFmtId="0" fontId="39" fillId="45" borderId="45" xfId="0" applyFont="1" applyFill="1" applyBorder="1" applyAlignment="1">
      <alignment horizontal="center"/>
    </xf>
    <xf numFmtId="0" fontId="13" fillId="45" borderId="45" xfId="0" applyFont="1" applyFill="1" applyBorder="1" applyAlignment="1">
      <alignment/>
    </xf>
    <xf numFmtId="177" fontId="39" fillId="45" borderId="57" xfId="0" applyNumberFormat="1" applyFont="1" applyFill="1" applyBorder="1" applyAlignment="1">
      <alignment vertical="center"/>
    </xf>
    <xf numFmtId="176" fontId="39" fillId="45" borderId="46" xfId="0" applyNumberFormat="1" applyFont="1" applyFill="1" applyBorder="1" applyAlignment="1">
      <alignment/>
    </xf>
    <xf numFmtId="0" fontId="117" fillId="42" borderId="0" xfId="0" applyFont="1" applyFill="1" applyAlignment="1">
      <alignment horizontal="center" vertical="center"/>
    </xf>
    <xf numFmtId="0" fontId="117" fillId="42" borderId="0" xfId="0" applyFont="1" applyFill="1" applyBorder="1" applyAlignment="1">
      <alignment horizontal="center" vertical="center" wrapText="1"/>
    </xf>
    <xf numFmtId="0" fontId="117" fillId="42" borderId="0" xfId="0" applyFont="1" applyFill="1" applyAlignment="1">
      <alignment horizontal="center" vertical="center" wrapText="1"/>
    </xf>
    <xf numFmtId="0" fontId="39" fillId="39" borderId="35" xfId="0" applyFont="1" applyFill="1" applyBorder="1" applyAlignment="1">
      <alignment/>
    </xf>
    <xf numFmtId="0" fontId="13" fillId="0" borderId="36" xfId="0" applyFont="1" applyBorder="1" applyAlignment="1">
      <alignment/>
    </xf>
    <xf numFmtId="0" fontId="13" fillId="0" borderId="36" xfId="0" applyFont="1" applyBorder="1" applyAlignment="1">
      <alignment horizontal="center"/>
    </xf>
    <xf numFmtId="0" fontId="38" fillId="0" borderId="36" xfId="0" applyFont="1" applyBorder="1" applyAlignment="1">
      <alignment vertical="center"/>
    </xf>
    <xf numFmtId="176" fontId="13" fillId="0" borderId="36" xfId="0" applyNumberFormat="1" applyFont="1" applyFill="1" applyBorder="1" applyAlignment="1">
      <alignment vertical="center"/>
    </xf>
    <xf numFmtId="176" fontId="39" fillId="0" borderId="37" xfId="0" applyNumberFormat="1" applyFont="1" applyFill="1" applyBorder="1" applyAlignment="1">
      <alignment vertical="center"/>
    </xf>
    <xf numFmtId="176" fontId="39" fillId="0" borderId="38" xfId="0" applyNumberFormat="1" applyFont="1" applyFill="1" applyBorder="1" applyAlignment="1">
      <alignment horizontal="center"/>
    </xf>
    <xf numFmtId="0" fontId="13" fillId="0" borderId="28" xfId="0" applyFont="1" applyBorder="1" applyAlignment="1">
      <alignment/>
    </xf>
    <xf numFmtId="0" fontId="13" fillId="0" borderId="0" xfId="0" applyFont="1" applyBorder="1" applyAlignment="1">
      <alignment/>
    </xf>
    <xf numFmtId="0" fontId="38" fillId="0" borderId="0" xfId="0" applyFont="1" applyBorder="1" applyAlignment="1">
      <alignment vertical="center"/>
    </xf>
    <xf numFmtId="3" fontId="13" fillId="0" borderId="0" xfId="0" applyNumberFormat="1" applyFont="1" applyFill="1" applyBorder="1" applyAlignment="1">
      <alignment vertical="center"/>
    </xf>
    <xf numFmtId="176" fontId="39" fillId="0" borderId="32" xfId="0" applyNumberFormat="1" applyFont="1" applyFill="1" applyBorder="1" applyAlignment="1">
      <alignment vertical="center"/>
    </xf>
    <xf numFmtId="176" fontId="39" fillId="0" borderId="29" xfId="0" applyNumberFormat="1" applyFont="1" applyFill="1" applyBorder="1" applyAlignment="1">
      <alignment horizontal="center"/>
    </xf>
    <xf numFmtId="14" fontId="13" fillId="0" borderId="0" xfId="0" applyNumberFormat="1" applyFont="1" applyFill="1" applyBorder="1" applyAlignment="1">
      <alignment horizontal="center"/>
    </xf>
    <xf numFmtId="0" fontId="44" fillId="0" borderId="0" xfId="0" applyFont="1" applyFill="1" applyBorder="1" applyAlignment="1">
      <alignment vertical="center"/>
    </xf>
    <xf numFmtId="0" fontId="13" fillId="0" borderId="0" xfId="121" applyFont="1" applyFill="1" applyBorder="1" applyAlignment="1">
      <alignment horizontal="center"/>
      <protection/>
    </xf>
    <xf numFmtId="176" fontId="4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1" fontId="13" fillId="0" borderId="29" xfId="0" applyNumberFormat="1" applyFont="1" applyFill="1" applyBorder="1" applyAlignment="1">
      <alignment horizontal="center"/>
    </xf>
    <xf numFmtId="2" fontId="44" fillId="0" borderId="0" xfId="0" applyNumberFormat="1" applyFont="1" applyBorder="1" applyAlignment="1">
      <alignment vertical="center"/>
    </xf>
    <xf numFmtId="176" fontId="43" fillId="0" borderId="18" xfId="0" applyNumberFormat="1" applyFont="1" applyFill="1" applyBorder="1" applyAlignment="1">
      <alignment vertical="center"/>
    </xf>
    <xf numFmtId="3" fontId="39" fillId="0" borderId="29" xfId="0" applyNumberFormat="1" applyFont="1" applyFill="1" applyBorder="1" applyAlignment="1">
      <alignment horizontal="center"/>
    </xf>
    <xf numFmtId="3" fontId="39" fillId="0" borderId="42" xfId="0" applyNumberFormat="1" applyFont="1" applyFill="1" applyBorder="1" applyAlignment="1">
      <alignment horizontal="center"/>
    </xf>
    <xf numFmtId="0" fontId="0" fillId="0" borderId="28" xfId="0" applyFont="1" applyBorder="1" applyAlignment="1">
      <alignment horizontal="center"/>
    </xf>
    <xf numFmtId="0" fontId="44" fillId="0" borderId="0" xfId="0" applyFont="1" applyBorder="1" applyAlignment="1">
      <alignment vertical="center"/>
    </xf>
    <xf numFmtId="0" fontId="0" fillId="0" borderId="38" xfId="0" applyFont="1" applyBorder="1" applyAlignment="1">
      <alignment/>
    </xf>
    <xf numFmtId="0" fontId="0" fillId="0" borderId="28" xfId="0" applyFont="1" applyFill="1" applyBorder="1" applyAlignment="1">
      <alignment horizontal="center" vertical="center"/>
    </xf>
    <xf numFmtId="0" fontId="0" fillId="0" borderId="32" xfId="0" applyFont="1" applyBorder="1" applyAlignment="1">
      <alignment/>
    </xf>
    <xf numFmtId="0" fontId="0" fillId="0" borderId="29" xfId="0" applyFont="1" applyBorder="1" applyAlignment="1">
      <alignment/>
    </xf>
    <xf numFmtId="177" fontId="39" fillId="45" borderId="45" xfId="0" applyNumberFormat="1" applyFont="1" applyFill="1" applyBorder="1" applyAlignment="1">
      <alignment vertical="center"/>
    </xf>
    <xf numFmtId="0" fontId="0" fillId="0" borderId="0" xfId="0" applyFont="1" applyAlignment="1">
      <alignment horizontal="center"/>
    </xf>
    <xf numFmtId="0" fontId="39" fillId="45" borderId="33" xfId="0" applyFont="1" applyFill="1" applyBorder="1" applyAlignment="1">
      <alignment/>
    </xf>
    <xf numFmtId="0" fontId="39" fillId="45" borderId="41" xfId="0" applyFont="1" applyFill="1" applyBorder="1" applyAlignment="1">
      <alignment/>
    </xf>
    <xf numFmtId="0" fontId="39" fillId="45" borderId="41" xfId="0" applyFont="1" applyFill="1" applyBorder="1" applyAlignment="1">
      <alignment horizontal="center"/>
    </xf>
    <xf numFmtId="0" fontId="13" fillId="45" borderId="41" xfId="0" applyFont="1" applyFill="1" applyBorder="1" applyAlignment="1">
      <alignment/>
    </xf>
    <xf numFmtId="174" fontId="39" fillId="45" borderId="41" xfId="0" applyNumberFormat="1" applyFont="1" applyFill="1" applyBorder="1" applyAlignment="1">
      <alignment/>
    </xf>
    <xf numFmtId="0" fontId="117" fillId="42" borderId="47" xfId="0" applyFont="1" applyFill="1" applyBorder="1" applyAlignment="1">
      <alignment horizontal="center" vertical="center"/>
    </xf>
    <xf numFmtId="0" fontId="117" fillId="42" borderId="51" xfId="0" applyFont="1" applyFill="1" applyBorder="1" applyAlignment="1">
      <alignment horizontal="center" vertical="center"/>
    </xf>
    <xf numFmtId="0" fontId="117" fillId="42" borderId="55" xfId="0" applyFont="1" applyFill="1" applyBorder="1" applyAlignment="1">
      <alignment horizontal="center" vertical="center"/>
    </xf>
    <xf numFmtId="0" fontId="13" fillId="0" borderId="38" xfId="0" applyFont="1" applyBorder="1" applyAlignment="1">
      <alignment horizontal="left" vertical="center"/>
    </xf>
    <xf numFmtId="0" fontId="38" fillId="0" borderId="29" xfId="0" applyFont="1" applyFill="1" applyBorder="1" applyAlignment="1">
      <alignment horizontal="right" vertical="center"/>
    </xf>
    <xf numFmtId="0" fontId="38" fillId="0" borderId="29" xfId="0" applyFont="1" applyFill="1" applyBorder="1" applyAlignment="1" quotePrefix="1">
      <alignment horizontal="right" vertical="center"/>
    </xf>
    <xf numFmtId="0" fontId="13" fillId="0" borderId="29" xfId="0" applyFont="1" applyFill="1" applyBorder="1" applyAlignment="1">
      <alignment horizontal="left" vertical="center"/>
    </xf>
    <xf numFmtId="0" fontId="38" fillId="0" borderId="29" xfId="0" applyFont="1" applyBorder="1" applyAlignment="1" quotePrefix="1">
      <alignment horizontal="right" vertical="center"/>
    </xf>
    <xf numFmtId="0" fontId="39" fillId="40" borderId="33" xfId="0" applyFont="1" applyFill="1" applyBorder="1" applyAlignment="1">
      <alignment horizontal="left" vertical="center"/>
    </xf>
    <xf numFmtId="0" fontId="41" fillId="0" borderId="0" xfId="0" applyFont="1" applyFill="1" applyBorder="1" applyAlignment="1" quotePrefix="1">
      <alignment vertical="center"/>
    </xf>
    <xf numFmtId="0" fontId="121" fillId="46" borderId="35" xfId="0" applyFont="1" applyFill="1" applyBorder="1" applyAlignment="1">
      <alignment horizontal="center" vertical="center"/>
    </xf>
    <xf numFmtId="0" fontId="121" fillId="46" borderId="41" xfId="0" applyFont="1" applyFill="1" applyBorder="1" applyAlignment="1">
      <alignment horizontal="center" vertical="center"/>
    </xf>
    <xf numFmtId="3" fontId="13" fillId="0" borderId="28" xfId="0" applyNumberFormat="1" applyFont="1" applyFill="1" applyBorder="1" applyAlignment="1">
      <alignment horizontal="center" vertical="center"/>
    </xf>
    <xf numFmtId="0" fontId="0" fillId="0" borderId="29" xfId="0" applyFont="1" applyBorder="1" applyAlignment="1">
      <alignment horizontal="center"/>
    </xf>
    <xf numFmtId="1" fontId="0" fillId="0" borderId="29" xfId="0" applyNumberFormat="1" applyFont="1" applyBorder="1" applyAlignment="1">
      <alignment horizontal="center"/>
    </xf>
    <xf numFmtId="0" fontId="39" fillId="47" borderId="35" xfId="0" applyFont="1" applyFill="1" applyBorder="1" applyAlignment="1">
      <alignment horizontal="left" vertical="center"/>
    </xf>
    <xf numFmtId="3" fontId="39" fillId="47" borderId="35" xfId="0" applyNumberFormat="1" applyFont="1" applyFill="1" applyBorder="1" applyAlignment="1">
      <alignment horizontal="center" vertical="center"/>
    </xf>
    <xf numFmtId="0" fontId="121" fillId="46" borderId="33" xfId="0" applyFont="1" applyFill="1" applyBorder="1" applyAlignment="1">
      <alignment horizontal="center" vertical="center"/>
    </xf>
    <xf numFmtId="176" fontId="0" fillId="0" borderId="0" xfId="0" applyNumberFormat="1" applyFont="1" applyAlignment="1">
      <alignment horizontal="center"/>
    </xf>
    <xf numFmtId="175" fontId="5" fillId="41" borderId="24" xfId="0" applyNumberFormat="1" applyFont="1" applyFill="1" applyBorder="1" applyAlignment="1">
      <alignment horizontal="center" vertical="center"/>
    </xf>
    <xf numFmtId="175" fontId="5" fillId="41" borderId="18" xfId="0" applyNumberFormat="1" applyFont="1" applyFill="1" applyBorder="1" applyAlignment="1">
      <alignment horizontal="center" vertical="center"/>
    </xf>
    <xf numFmtId="175" fontId="5" fillId="41" borderId="25" xfId="0" applyNumberFormat="1" applyFont="1" applyFill="1" applyBorder="1" applyAlignment="1">
      <alignment horizontal="center" vertical="center"/>
    </xf>
    <xf numFmtId="175" fontId="5" fillId="41" borderId="1" xfId="0" applyNumberFormat="1" applyFont="1" applyFill="1" applyBorder="1" applyAlignment="1">
      <alignment horizontal="center" vertical="center"/>
    </xf>
    <xf numFmtId="175" fontId="5" fillId="41" borderId="26" xfId="0" applyNumberFormat="1" applyFont="1" applyFill="1" applyBorder="1" applyAlignment="1">
      <alignment horizontal="center" vertical="center"/>
    </xf>
    <xf numFmtId="175" fontId="5" fillId="41" borderId="25" xfId="0" applyNumberFormat="1" applyFont="1" applyFill="1" applyBorder="1" applyAlignment="1" quotePrefix="1">
      <alignment horizontal="center" vertical="center"/>
    </xf>
    <xf numFmtId="3" fontId="10" fillId="0" borderId="0" xfId="0" applyNumberFormat="1" applyFont="1" applyFill="1" applyBorder="1" applyAlignment="1">
      <alignment horizontal="right"/>
    </xf>
    <xf numFmtId="3" fontId="8" fillId="48" borderId="17" xfId="0" applyNumberFormat="1" applyFont="1" applyFill="1" applyBorder="1" applyAlignment="1">
      <alignment/>
    </xf>
    <xf numFmtId="3" fontId="8" fillId="48" borderId="17" xfId="0" applyNumberFormat="1" applyFont="1" applyFill="1" applyBorder="1" applyAlignment="1">
      <alignment horizontal="right"/>
    </xf>
    <xf numFmtId="3" fontId="51" fillId="0" borderId="17" xfId="0" applyNumberFormat="1" applyFont="1" applyFill="1" applyBorder="1" applyAlignment="1">
      <alignment/>
    </xf>
    <xf numFmtId="3" fontId="10" fillId="48" borderId="19" xfId="0" applyNumberFormat="1" applyFont="1" applyFill="1" applyBorder="1" applyAlignment="1">
      <alignment/>
    </xf>
    <xf numFmtId="3" fontId="10" fillId="48" borderId="0" xfId="0" applyNumberFormat="1" applyFont="1" applyFill="1" applyBorder="1" applyAlignment="1">
      <alignment/>
    </xf>
    <xf numFmtId="0" fontId="0" fillId="0" borderId="0" xfId="0" applyFont="1" applyBorder="1" applyAlignment="1" quotePrefix="1">
      <alignment/>
    </xf>
    <xf numFmtId="3" fontId="0" fillId="0" borderId="0" xfId="0" applyNumberFormat="1" applyFont="1" applyAlignment="1" quotePrefix="1">
      <alignment wrapText="1"/>
    </xf>
    <xf numFmtId="0" fontId="0" fillId="0" borderId="0" xfId="0" applyFont="1" applyBorder="1" applyAlignment="1" quotePrefix="1">
      <alignment/>
    </xf>
    <xf numFmtId="0" fontId="0" fillId="0" borderId="26" xfId="0" applyFont="1" applyFill="1" applyBorder="1" applyAlignment="1">
      <alignment/>
    </xf>
    <xf numFmtId="3" fontId="4" fillId="39" borderId="25" xfId="0" applyNumberFormat="1" applyFont="1" applyFill="1" applyBorder="1" applyAlignment="1">
      <alignment horizontal="center" vertical="center"/>
    </xf>
    <xf numFmtId="3" fontId="4" fillId="39" borderId="24" xfId="0" applyNumberFormat="1" applyFont="1" applyFill="1" applyBorder="1" applyAlignment="1">
      <alignment horizontal="center" vertical="center"/>
    </xf>
    <xf numFmtId="3" fontId="4" fillId="39" borderId="21" xfId="0" applyNumberFormat="1" applyFont="1" applyFill="1" applyBorder="1" applyAlignment="1">
      <alignment horizontal="center" vertical="center"/>
    </xf>
    <xf numFmtId="3" fontId="4" fillId="39" borderId="23" xfId="0" applyNumberFormat="1" applyFont="1" applyFill="1" applyBorder="1" applyAlignment="1">
      <alignment horizontal="center" vertical="center"/>
    </xf>
    <xf numFmtId="3" fontId="1" fillId="41" borderId="25" xfId="0" applyNumberFormat="1" applyFont="1" applyFill="1" applyBorder="1" applyAlignment="1">
      <alignment horizontal="center"/>
    </xf>
    <xf numFmtId="3" fontId="1" fillId="41" borderId="1" xfId="0" applyNumberFormat="1" applyFont="1" applyFill="1" applyBorder="1" applyAlignment="1">
      <alignment horizontal="center"/>
    </xf>
    <xf numFmtId="3" fontId="1" fillId="41" borderId="26" xfId="0" applyNumberFormat="1" applyFont="1" applyFill="1" applyBorder="1" applyAlignment="1">
      <alignment horizontal="center"/>
    </xf>
    <xf numFmtId="3" fontId="116" fillId="41" borderId="25" xfId="0" applyNumberFormat="1" applyFont="1" applyFill="1" applyBorder="1" applyAlignment="1">
      <alignment horizontal="center"/>
    </xf>
    <xf numFmtId="3" fontId="116" fillId="41" borderId="1" xfId="0" applyNumberFormat="1" applyFont="1" applyFill="1" applyBorder="1" applyAlignment="1">
      <alignment horizontal="center"/>
    </xf>
    <xf numFmtId="3" fontId="116" fillId="41" borderId="26" xfId="0" applyNumberFormat="1" applyFont="1" applyFill="1" applyBorder="1" applyAlignment="1">
      <alignment horizontal="center"/>
    </xf>
    <xf numFmtId="0" fontId="4" fillId="39" borderId="25" xfId="0" applyFont="1" applyFill="1" applyBorder="1" applyAlignment="1">
      <alignment horizontal="center" vertical="center"/>
    </xf>
    <xf numFmtId="0" fontId="4" fillId="39" borderId="24" xfId="0" applyFont="1" applyFill="1" applyBorder="1" applyAlignment="1">
      <alignment horizontal="center" vertical="center"/>
    </xf>
    <xf numFmtId="0" fontId="4" fillId="39" borderId="25" xfId="0" applyFont="1" applyFill="1" applyBorder="1" applyAlignment="1">
      <alignment horizontal="center" vertical="center" wrapText="1"/>
    </xf>
    <xf numFmtId="0" fontId="4" fillId="39" borderId="24" xfId="0" applyFont="1" applyFill="1" applyBorder="1" applyAlignment="1">
      <alignment horizontal="center" vertical="center" wrapText="1"/>
    </xf>
    <xf numFmtId="175" fontId="5" fillId="41" borderId="24" xfId="0" applyNumberFormat="1" applyFont="1" applyFill="1" applyBorder="1" applyAlignment="1">
      <alignment horizontal="center" vertical="center"/>
    </xf>
    <xf numFmtId="175" fontId="5" fillId="41" borderId="18" xfId="0" applyNumberFormat="1" applyFont="1" applyFill="1" applyBorder="1" applyAlignment="1">
      <alignment horizontal="center" vertical="center"/>
    </xf>
    <xf numFmtId="175" fontId="5" fillId="41" borderId="25" xfId="0" applyNumberFormat="1" applyFont="1" applyFill="1" applyBorder="1" applyAlignment="1">
      <alignment horizontal="center" vertical="center"/>
    </xf>
    <xf numFmtId="175" fontId="5" fillId="41" borderId="1" xfId="0" applyNumberFormat="1" applyFont="1" applyFill="1" applyBorder="1" applyAlignment="1">
      <alignment horizontal="center" vertical="center"/>
    </xf>
    <xf numFmtId="175" fontId="5" fillId="41" borderId="26" xfId="0" applyNumberFormat="1" applyFont="1" applyFill="1" applyBorder="1" applyAlignment="1">
      <alignment horizontal="center" vertical="center"/>
    </xf>
    <xf numFmtId="175" fontId="5" fillId="41" borderId="25" xfId="0" applyNumberFormat="1" applyFont="1" applyFill="1" applyBorder="1" applyAlignment="1" quotePrefix="1">
      <alignment horizontal="center" vertical="center"/>
    </xf>
    <xf numFmtId="0" fontId="117" fillId="42" borderId="47" xfId="0" applyFont="1" applyFill="1" applyBorder="1" applyAlignment="1">
      <alignment horizontal="center" vertical="center"/>
    </xf>
    <xf numFmtId="0" fontId="117" fillId="42" borderId="37" xfId="0" applyFont="1" applyFill="1" applyBorder="1" applyAlignment="1">
      <alignment horizontal="center" vertical="center"/>
    </xf>
    <xf numFmtId="0" fontId="0" fillId="48" borderId="19" xfId="0" applyFont="1" applyFill="1" applyBorder="1" applyAlignment="1">
      <alignment/>
    </xf>
    <xf numFmtId="3" fontId="6" fillId="48" borderId="0" xfId="109" applyNumberFormat="1" applyFont="1" applyFill="1" applyBorder="1" applyAlignment="1">
      <alignment/>
    </xf>
    <xf numFmtId="0" fontId="0" fillId="48" borderId="0" xfId="0" applyFont="1" applyFill="1" applyBorder="1" applyAlignment="1">
      <alignment/>
    </xf>
    <xf numFmtId="0" fontId="0" fillId="48" borderId="17" xfId="0" applyFont="1" applyFill="1" applyBorder="1" applyAlignment="1">
      <alignment/>
    </xf>
    <xf numFmtId="3" fontId="109" fillId="48" borderId="17" xfId="0" applyNumberFormat="1" applyFont="1" applyFill="1" applyBorder="1" applyAlignment="1">
      <alignment/>
    </xf>
    <xf numFmtId="3" fontId="6" fillId="48" borderId="19" xfId="109" applyNumberFormat="1" applyFont="1" applyFill="1" applyBorder="1" applyAlignment="1">
      <alignment vertical="center"/>
    </xf>
    <xf numFmtId="3" fontId="6" fillId="48" borderId="0" xfId="109" applyNumberFormat="1" applyFont="1" applyFill="1" applyBorder="1" applyAlignment="1">
      <alignment vertical="center"/>
    </xf>
    <xf numFmtId="3" fontId="6" fillId="48" borderId="17" xfId="109" applyNumberFormat="1" applyFont="1" applyFill="1" applyBorder="1" applyAlignment="1">
      <alignment vertical="center"/>
    </xf>
    <xf numFmtId="3" fontId="115" fillId="0" borderId="19" xfId="109" applyNumberFormat="1" applyFont="1" applyFill="1" applyBorder="1" applyAlignment="1">
      <alignment horizontal="right" vertical="center"/>
    </xf>
    <xf numFmtId="175" fontId="5" fillId="41" borderId="1" xfId="0" applyNumberFormat="1" applyFont="1" applyFill="1" applyBorder="1" applyAlignment="1">
      <alignment vertical="center"/>
    </xf>
    <xf numFmtId="175" fontId="5" fillId="41" borderId="26" xfId="0" applyNumberFormat="1" applyFont="1" applyFill="1" applyBorder="1" applyAlignment="1">
      <alignment vertical="center"/>
    </xf>
    <xf numFmtId="0" fontId="9" fillId="0" borderId="0" xfId="0" applyFont="1" applyFill="1" applyBorder="1" applyAlignment="1" quotePrefix="1">
      <alignment/>
    </xf>
    <xf numFmtId="3" fontId="45" fillId="0" borderId="22" xfId="0" applyNumberFormat="1" applyFont="1" applyFill="1" applyBorder="1" applyAlignment="1">
      <alignment horizontal="center" vertical="center"/>
    </xf>
    <xf numFmtId="3" fontId="39" fillId="40" borderId="34" xfId="0" applyNumberFormat="1" applyFont="1" applyFill="1" applyBorder="1" applyAlignment="1">
      <alignment horizontal="center" vertical="center"/>
    </xf>
    <xf numFmtId="174" fontId="44" fillId="0" borderId="22" xfId="0" applyNumberFormat="1" applyFont="1" applyBorder="1" applyAlignment="1">
      <alignment horizontal="center" vertical="center"/>
    </xf>
    <xf numFmtId="3" fontId="39" fillId="40" borderId="41" xfId="0" applyNumberFormat="1" applyFont="1" applyFill="1" applyBorder="1" applyAlignment="1">
      <alignment horizontal="center" vertical="center"/>
    </xf>
    <xf numFmtId="1" fontId="43" fillId="0" borderId="17" xfId="0" applyNumberFormat="1" applyFont="1" applyFill="1" applyBorder="1" applyAlignment="1">
      <alignment horizontal="center"/>
    </xf>
    <xf numFmtId="1" fontId="43" fillId="0" borderId="20" xfId="0" applyNumberFormat="1" applyFont="1" applyFill="1" applyBorder="1" applyAlignment="1">
      <alignment horizontal="center"/>
    </xf>
    <xf numFmtId="1" fontId="39" fillId="40" borderId="34" xfId="0" applyNumberFormat="1" applyFont="1" applyFill="1" applyBorder="1" applyAlignment="1">
      <alignment horizontal="center"/>
    </xf>
    <xf numFmtId="3" fontId="39" fillId="0" borderId="60" xfId="0" applyNumberFormat="1" applyFont="1" applyFill="1" applyBorder="1" applyAlignment="1">
      <alignment horizontal="center"/>
    </xf>
    <xf numFmtId="3" fontId="13" fillId="0" borderId="32" xfId="0" applyNumberFormat="1" applyFont="1" applyFill="1" applyBorder="1" applyAlignment="1">
      <alignment horizontal="center"/>
    </xf>
    <xf numFmtId="3" fontId="45" fillId="0" borderId="22" xfId="0" applyNumberFormat="1" applyFont="1" applyFill="1" applyBorder="1" applyAlignment="1">
      <alignment horizontal="center"/>
    </xf>
    <xf numFmtId="3" fontId="39" fillId="0" borderId="32" xfId="0" applyNumberFormat="1" applyFont="1" applyFill="1" applyBorder="1" applyAlignment="1">
      <alignment horizontal="center"/>
    </xf>
    <xf numFmtId="3" fontId="39" fillId="40" borderId="34" xfId="0" applyNumberFormat="1" applyFont="1" applyFill="1" applyBorder="1" applyAlignment="1">
      <alignment horizontal="center"/>
    </xf>
    <xf numFmtId="174" fontId="43" fillId="0" borderId="22" xfId="0" applyNumberFormat="1" applyFont="1" applyFill="1" applyBorder="1" applyAlignment="1">
      <alignment horizontal="center"/>
    </xf>
    <xf numFmtId="174" fontId="45" fillId="0" borderId="22" xfId="0" applyNumberFormat="1" applyFont="1" applyFill="1" applyBorder="1" applyAlignment="1">
      <alignment horizontal="center"/>
    </xf>
    <xf numFmtId="174" fontId="39" fillId="0" borderId="61" xfId="0" applyNumberFormat="1" applyFont="1" applyFill="1" applyBorder="1" applyAlignment="1">
      <alignment horizontal="center"/>
    </xf>
    <xf numFmtId="2" fontId="44" fillId="0" borderId="22" xfId="120" applyNumberFormat="1" applyFont="1" applyFill="1" applyBorder="1" applyAlignment="1">
      <alignment vertical="center"/>
      <protection/>
    </xf>
    <xf numFmtId="2" fontId="44" fillId="0" borderId="22" xfId="121" applyNumberFormat="1" applyFont="1" applyFill="1" applyBorder="1" applyAlignment="1">
      <alignment vertical="center"/>
      <protection/>
    </xf>
    <xf numFmtId="169" fontId="43" fillId="0" borderId="22" xfId="115" applyNumberFormat="1" applyFont="1" applyFill="1" applyBorder="1" applyAlignment="1">
      <alignment vertical="center"/>
    </xf>
    <xf numFmtId="169" fontId="43" fillId="0" borderId="22" xfId="121" applyNumberFormat="1" applyFont="1" applyFill="1" applyBorder="1" applyAlignment="1">
      <alignment vertical="center"/>
      <protection/>
    </xf>
    <xf numFmtId="3" fontId="43" fillId="0" borderId="22" xfId="120" applyNumberFormat="1" applyFont="1" applyFill="1" applyBorder="1" applyAlignment="1">
      <alignment vertical="center"/>
      <protection/>
    </xf>
    <xf numFmtId="3" fontId="39" fillId="45" borderId="41" xfId="120" applyNumberFormat="1" applyFont="1" applyFill="1" applyBorder="1" applyAlignment="1">
      <alignment vertical="center"/>
      <protection/>
    </xf>
    <xf numFmtId="3" fontId="39" fillId="45" borderId="41" xfId="120" applyNumberFormat="1" applyFont="1" applyFill="1" applyBorder="1">
      <alignment/>
      <protection/>
    </xf>
    <xf numFmtId="0" fontId="39" fillId="0" borderId="0" xfId="120" applyFont="1" applyFill="1" applyBorder="1" applyAlignment="1">
      <alignment horizontal="center" wrapText="1"/>
      <protection/>
    </xf>
    <xf numFmtId="0" fontId="39" fillId="0" borderId="61" xfId="120" applyFont="1" applyFill="1" applyBorder="1" applyAlignment="1">
      <alignment horizontal="center" vertical="center"/>
      <protection/>
    </xf>
    <xf numFmtId="1" fontId="39" fillId="0" borderId="61" xfId="120" applyNumberFormat="1" applyFont="1" applyFill="1" applyBorder="1" applyAlignment="1">
      <alignment horizontal="center" vertical="center"/>
      <protection/>
    </xf>
    <xf numFmtId="1" fontId="39" fillId="0" borderId="61" xfId="121" applyNumberFormat="1" applyFont="1" applyFill="1" applyBorder="1" applyAlignment="1">
      <alignment horizontal="center" vertical="center"/>
      <protection/>
    </xf>
    <xf numFmtId="1" fontId="39" fillId="0" borderId="62" xfId="120" applyNumberFormat="1" applyFont="1" applyFill="1" applyBorder="1" applyAlignment="1">
      <alignment horizontal="center" vertical="center"/>
      <protection/>
    </xf>
    <xf numFmtId="1" fontId="39" fillId="45" borderId="34" xfId="120" applyNumberFormat="1" applyFont="1" applyFill="1" applyBorder="1" applyAlignment="1">
      <alignment horizontal="center" vertical="center"/>
      <protection/>
    </xf>
    <xf numFmtId="1" fontId="39" fillId="0" borderId="0" xfId="120" applyNumberFormat="1" applyFont="1" applyFill="1" applyBorder="1" applyAlignment="1">
      <alignment horizontal="center" vertical="center"/>
      <protection/>
    </xf>
    <xf numFmtId="1" fontId="39" fillId="0" borderId="37" xfId="120" applyNumberFormat="1" applyFont="1" applyFill="1" applyBorder="1" applyAlignment="1">
      <alignment horizontal="center" vertical="center"/>
      <protection/>
    </xf>
    <xf numFmtId="1" fontId="39" fillId="0" borderId="32" xfId="120" applyNumberFormat="1" applyFont="1" applyFill="1" applyBorder="1" applyAlignment="1">
      <alignment horizontal="center" vertical="center"/>
      <protection/>
    </xf>
    <xf numFmtId="1" fontId="124" fillId="0" borderId="32" xfId="120" applyNumberFormat="1" applyFont="1" applyFill="1" applyBorder="1" applyAlignment="1">
      <alignment horizontal="center" vertical="center"/>
      <protection/>
    </xf>
    <xf numFmtId="1" fontId="39" fillId="0" borderId="0" xfId="120" applyNumberFormat="1" applyFont="1" applyFill="1" applyAlignment="1">
      <alignment horizontal="center"/>
      <protection/>
    </xf>
    <xf numFmtId="1" fontId="39" fillId="45" borderId="34" xfId="120" applyNumberFormat="1" applyFont="1" applyFill="1" applyBorder="1" applyAlignment="1">
      <alignment horizontal="center"/>
      <protection/>
    </xf>
    <xf numFmtId="4" fontId="39" fillId="0" borderId="0" xfId="120" applyNumberFormat="1" applyFont="1" applyFill="1" applyAlignment="1">
      <alignment horizontal="center"/>
      <protection/>
    </xf>
    <xf numFmtId="3" fontId="39" fillId="0" borderId="0" xfId="0" applyNumberFormat="1" applyFont="1" applyFill="1" applyBorder="1" applyAlignment="1">
      <alignment horizontal="center"/>
    </xf>
    <xf numFmtId="174" fontId="39" fillId="45" borderId="34" xfId="0" applyNumberFormat="1" applyFont="1" applyFill="1" applyBorder="1" applyAlignment="1">
      <alignment/>
    </xf>
    <xf numFmtId="3" fontId="0" fillId="0" borderId="0" xfId="0" applyNumberFormat="1" applyFont="1" applyAlignment="1">
      <alignment horizontal="center"/>
    </xf>
    <xf numFmtId="176" fontId="39" fillId="47" borderId="35" xfId="0" applyNumberFormat="1" applyFont="1" applyFill="1" applyBorder="1" applyAlignment="1">
      <alignment horizontal="center" vertical="center"/>
    </xf>
  </cellXfs>
  <cellStyles count="14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4025-363" xfId="27"/>
    <cellStyle name="60% - Colore 1" xfId="28"/>
    <cellStyle name="60% - Colore 2" xfId="29"/>
    <cellStyle name="60% - Colore 3" xfId="30"/>
    <cellStyle name="60% - Colore 4" xfId="31"/>
    <cellStyle name="60% - Colore 5" xfId="32"/>
    <cellStyle name="60% - Colore 6" xfId="33"/>
    <cellStyle name="aaa" xfId="34"/>
    <cellStyle name="b" xfId="35"/>
    <cellStyle name="Bloccato" xfId="36"/>
    <cellStyle name="CALC Amount" xfId="37"/>
    <cellStyle name="CALC Amount [1]" xfId="38"/>
    <cellStyle name="CALC Amount [2]" xfId="39"/>
    <cellStyle name="CALC Amount Total" xfId="40"/>
    <cellStyle name="CALC Amount Total [1]" xfId="41"/>
    <cellStyle name="CALC Amount Total [2]" xfId="42"/>
    <cellStyle name="CALC Amount 'x'" xfId="43"/>
    <cellStyle name="CALC Currency" xfId="44"/>
    <cellStyle name="CALC Currency [1]" xfId="45"/>
    <cellStyle name="CALC Currency [2]" xfId="46"/>
    <cellStyle name="CALC Currency Total" xfId="47"/>
    <cellStyle name="CALC Currency Total [1]" xfId="48"/>
    <cellStyle name="CALC Currency Total [2]" xfId="49"/>
    <cellStyle name="CALC Date Long" xfId="50"/>
    <cellStyle name="CALC Date Short" xfId="51"/>
    <cellStyle name="CALC Percent" xfId="52"/>
    <cellStyle name="CALC Percent [1]" xfId="53"/>
    <cellStyle name="CALC Percent [2]" xfId="54"/>
    <cellStyle name="CALC Percent Total" xfId="55"/>
    <cellStyle name="CALC Percent Total [1]" xfId="56"/>
    <cellStyle name="CALC Percent Total [2]" xfId="57"/>
    <cellStyle name="Calcolo" xfId="58"/>
    <cellStyle name="Cella collegata" xfId="59"/>
    <cellStyle name="Cella da controllare" xfId="60"/>
    <cellStyle name="Hyperlink" xfId="61"/>
    <cellStyle name="Followed Hyperlink" xfId="62"/>
    <cellStyle name="Colore 1" xfId="63"/>
    <cellStyle name="Colore 2" xfId="64"/>
    <cellStyle name="Colore 3" xfId="65"/>
    <cellStyle name="Colore 4" xfId="66"/>
    <cellStyle name="Colore 5" xfId="67"/>
    <cellStyle name="Colore 6" xfId="68"/>
    <cellStyle name="Comma [1]" xfId="69"/>
    <cellStyle name="Comma [2]" xfId="70"/>
    <cellStyle name="Comma [3]" xfId="71"/>
    <cellStyle name="DATA Amount" xfId="72"/>
    <cellStyle name="DATA Amount [1]" xfId="73"/>
    <cellStyle name="DATA Amount [2]" xfId="74"/>
    <cellStyle name="DATA Currency" xfId="75"/>
    <cellStyle name="DATA Currency [1]" xfId="76"/>
    <cellStyle name="DATA Currency [2]" xfId="77"/>
    <cellStyle name="DATA Date Long" xfId="78"/>
    <cellStyle name="DATA Date Short" xfId="79"/>
    <cellStyle name="DATA List" xfId="80"/>
    <cellStyle name="DATA Memo" xfId="81"/>
    <cellStyle name="DATA Percent" xfId="82"/>
    <cellStyle name="DATA Percent [1]" xfId="83"/>
    <cellStyle name="DATA Percent [2]" xfId="84"/>
    <cellStyle name="DATA Text" xfId="85"/>
    <cellStyle name="DATA Version" xfId="86"/>
    <cellStyle name="Date" xfId="87"/>
    <cellStyle name="Delta (0)" xfId="88"/>
    <cellStyle name="Delta (0,0)" xfId="89"/>
    <cellStyle name="Delta (0,00)" xfId="90"/>
    <cellStyle name="Euro" xfId="91"/>
    <cellStyle name="F_date" xfId="92"/>
    <cellStyle name="F_date_time" xfId="93"/>
    <cellStyle name="F_time" xfId="94"/>
    <cellStyle name="HEADING 1" xfId="95"/>
    <cellStyle name="HEADING 2" xfId="96"/>
    <cellStyle name="HEADING 3" xfId="97"/>
    <cellStyle name="Input" xfId="98"/>
    <cellStyle name="Input (0)" xfId="99"/>
    <cellStyle name="Input (0,0)" xfId="100"/>
    <cellStyle name="Input (0,00)" xfId="101"/>
    <cellStyle name="Input Perc (0,00)" xfId="102"/>
    <cellStyle name="Input(0)" xfId="103"/>
    <cellStyle name="Input(0,000)" xfId="104"/>
    <cellStyle name="LABEL Normal" xfId="105"/>
    <cellStyle name="LABEL Note" xfId="106"/>
    <cellStyle name="LABEL Units" xfId="107"/>
    <cellStyle name="Miglia" xfId="108"/>
    <cellStyle name="Comma" xfId="109"/>
    <cellStyle name="Migliaia (0)_0101" xfId="110"/>
    <cellStyle name="Migliaia (0,0)" xfId="111"/>
    <cellStyle name="Migliaia (0,00)" xfId="112"/>
    <cellStyle name="Migliaia (0,000)" xfId="113"/>
    <cellStyle name="Comma [0]" xfId="114"/>
    <cellStyle name="Migliaia [0] 2" xfId="115"/>
    <cellStyle name="Migliaia(0,0)" xfId="116"/>
    <cellStyle name="Neutrale" xfId="117"/>
    <cellStyle name="None" xfId="118"/>
    <cellStyle name="Normal_FuelsAssumptions_5June2003" xfId="119"/>
    <cellStyle name="Normale 2" xfId="120"/>
    <cellStyle name="Normale_Schema_dati" xfId="121"/>
    <cellStyle name="Nota" xfId="122"/>
    <cellStyle name="ODB_date_time" xfId="123"/>
    <cellStyle name="One" xfId="124"/>
    <cellStyle name="Output" xfId="125"/>
    <cellStyle name="Percent [0]" xfId="126"/>
    <cellStyle name="Percent [1]" xfId="127"/>
    <cellStyle name="Percent [2]" xfId="128"/>
    <cellStyle name="Percentage" xfId="129"/>
    <cellStyle name="Percent" xfId="130"/>
    <cellStyle name="Percentuale ,00" xfId="131"/>
    <cellStyle name="Percentuale(0)" xfId="132"/>
    <cellStyle name="SAPBEXstdItem" xfId="133"/>
    <cellStyle name="Sbloccato" xfId="134"/>
    <cellStyle name="Sottot" xfId="135"/>
    <cellStyle name="Sottotit 1" xfId="136"/>
    <cellStyle name="sottotit_tabella" xfId="137"/>
    <cellStyle name="SQL_STR" xfId="138"/>
    <cellStyle name="SYSTEM" xfId="139"/>
    <cellStyle name="Testo avviso" xfId="140"/>
    <cellStyle name="Testo descrittivo" xfId="141"/>
    <cellStyle name="TIME Detail" xfId="142"/>
    <cellStyle name="TIME Period Start" xfId="143"/>
    <cellStyle name="Tit_tabella" xfId="144"/>
    <cellStyle name="Titoli 1" xfId="145"/>
    <cellStyle name="Titoli 2" xfId="146"/>
    <cellStyle name="Titolo" xfId="147"/>
    <cellStyle name="Titolo 1" xfId="148"/>
    <cellStyle name="Titolo 2" xfId="149"/>
    <cellStyle name="Titolo 3" xfId="150"/>
    <cellStyle name="Titolo 4" xfId="151"/>
    <cellStyle name="Totale" xfId="152"/>
    <cellStyle name="Valore non valido" xfId="153"/>
    <cellStyle name="Valore valido" xfId="154"/>
    <cellStyle name="Currency" xfId="155"/>
    <cellStyle name="Valuta (0)_1998" xfId="156"/>
    <cellStyle name="Currency [0]"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123825</xdr:rowOff>
    </xdr:from>
    <xdr:to>
      <xdr:col>11</xdr:col>
      <xdr:colOff>0</xdr:colOff>
      <xdr:row>4</xdr:row>
      <xdr:rowOff>0</xdr:rowOff>
    </xdr:to>
    <xdr:sp>
      <xdr:nvSpPr>
        <xdr:cNvPr id="1" name="Freccia in giù 1"/>
        <xdr:cNvSpPr>
          <a:spLocks/>
        </xdr:cNvSpPr>
      </xdr:nvSpPr>
      <xdr:spPr>
        <a:xfrm>
          <a:off x="13668375" y="123825"/>
          <a:ext cx="0" cy="647700"/>
        </a:xfrm>
        <a:prstGeom prst="downArrow">
          <a:avLst>
            <a:gd name="adj" fmla="val 50000"/>
          </a:avLst>
        </a:prstGeom>
        <a:gradFill rotWithShape="1">
          <a:gsLst>
            <a:gs pos="0">
              <a:srgbClr val="FF3399"/>
            </a:gs>
            <a:gs pos="25000">
              <a:srgbClr val="FF6633"/>
            </a:gs>
            <a:gs pos="50000">
              <a:srgbClr val="FFFF00"/>
            </a:gs>
            <a:gs pos="75000">
              <a:srgbClr val="01A78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0</xdr:row>
      <xdr:rowOff>142875</xdr:rowOff>
    </xdr:from>
    <xdr:to>
      <xdr:col>11</xdr:col>
      <xdr:colOff>0</xdr:colOff>
      <xdr:row>4</xdr:row>
      <xdr:rowOff>0</xdr:rowOff>
    </xdr:to>
    <xdr:sp>
      <xdr:nvSpPr>
        <xdr:cNvPr id="2" name="Freccia in giù 2"/>
        <xdr:cNvSpPr>
          <a:spLocks/>
        </xdr:cNvSpPr>
      </xdr:nvSpPr>
      <xdr:spPr>
        <a:xfrm>
          <a:off x="13668375" y="142875"/>
          <a:ext cx="0" cy="628650"/>
        </a:xfrm>
        <a:prstGeom prst="downArrow">
          <a:avLst>
            <a:gd name="adj" fmla="val 50000"/>
          </a:avLst>
        </a:prstGeom>
        <a:gradFill rotWithShape="1">
          <a:gsLst>
            <a:gs pos="0">
              <a:srgbClr val="FF3399"/>
            </a:gs>
            <a:gs pos="25000">
              <a:srgbClr val="FF6633"/>
            </a:gs>
            <a:gs pos="50000">
              <a:srgbClr val="FFFF00"/>
            </a:gs>
            <a:gs pos="75000">
              <a:srgbClr val="01A78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0</xdr:row>
      <xdr:rowOff>123825</xdr:rowOff>
    </xdr:from>
    <xdr:to>
      <xdr:col>12</xdr:col>
      <xdr:colOff>0</xdr:colOff>
      <xdr:row>4</xdr:row>
      <xdr:rowOff>0</xdr:rowOff>
    </xdr:to>
    <xdr:sp>
      <xdr:nvSpPr>
        <xdr:cNvPr id="3" name="Freccia in giù 3"/>
        <xdr:cNvSpPr>
          <a:spLocks/>
        </xdr:cNvSpPr>
      </xdr:nvSpPr>
      <xdr:spPr>
        <a:xfrm>
          <a:off x="14277975" y="123825"/>
          <a:ext cx="0" cy="647700"/>
        </a:xfrm>
        <a:prstGeom prst="downArrow">
          <a:avLst>
            <a:gd name="adj" fmla="val 50000"/>
          </a:avLst>
        </a:prstGeom>
        <a:gradFill rotWithShape="1">
          <a:gsLst>
            <a:gs pos="0">
              <a:srgbClr val="FF3399"/>
            </a:gs>
            <a:gs pos="25000">
              <a:srgbClr val="FF6633"/>
            </a:gs>
            <a:gs pos="50000">
              <a:srgbClr val="FFFF00"/>
            </a:gs>
            <a:gs pos="75000">
              <a:srgbClr val="01A78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0</xdr:row>
      <xdr:rowOff>142875</xdr:rowOff>
    </xdr:from>
    <xdr:to>
      <xdr:col>12</xdr:col>
      <xdr:colOff>0</xdr:colOff>
      <xdr:row>4</xdr:row>
      <xdr:rowOff>0</xdr:rowOff>
    </xdr:to>
    <xdr:sp>
      <xdr:nvSpPr>
        <xdr:cNvPr id="4" name="Freccia in giù 4"/>
        <xdr:cNvSpPr>
          <a:spLocks/>
        </xdr:cNvSpPr>
      </xdr:nvSpPr>
      <xdr:spPr>
        <a:xfrm>
          <a:off x="14277975" y="142875"/>
          <a:ext cx="0" cy="628650"/>
        </a:xfrm>
        <a:prstGeom prst="downArrow">
          <a:avLst>
            <a:gd name="adj" fmla="val 50000"/>
          </a:avLst>
        </a:prstGeom>
        <a:gradFill rotWithShape="1">
          <a:gsLst>
            <a:gs pos="0">
              <a:srgbClr val="FF3399"/>
            </a:gs>
            <a:gs pos="25000">
              <a:srgbClr val="FF6633"/>
            </a:gs>
            <a:gs pos="50000">
              <a:srgbClr val="FFFF00"/>
            </a:gs>
            <a:gs pos="75000">
              <a:srgbClr val="01A78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W125"/>
  <sheetViews>
    <sheetView zoomScalePageLayoutView="0" workbookViewId="0" topLeftCell="A1">
      <pane xSplit="2" ySplit="4" topLeftCell="F5" activePane="bottomRight" state="frozen"/>
      <selection pane="topLeft" activeCell="A1" sqref="A1"/>
      <selection pane="topRight" activeCell="C1" sqref="C1"/>
      <selection pane="bottomLeft" activeCell="A5" sqref="A5"/>
      <selection pane="bottomRight" activeCell="B96" sqref="B96"/>
    </sheetView>
  </sheetViews>
  <sheetFormatPr defaultColWidth="9.140625" defaultRowHeight="12.75" outlineLevelRow="1" outlineLevelCol="1"/>
  <cols>
    <col min="1" max="1" width="1.421875" style="184" customWidth="1"/>
    <col min="2" max="2" width="50.00390625" style="185" customWidth="1"/>
    <col min="3" max="3" width="14.8515625" style="185" customWidth="1"/>
    <col min="4" max="4" width="14.00390625" style="185" hidden="1" customWidth="1" outlineLevel="1"/>
    <col min="5" max="5" width="15.57421875" style="185" customWidth="1" collapsed="1"/>
    <col min="6" max="6" width="12.8515625" style="185" customWidth="1"/>
    <col min="7" max="7" width="10.140625" style="186" customWidth="1"/>
    <col min="8" max="8" width="11.28125" style="185" customWidth="1"/>
    <col min="9" max="9" width="14.8515625" style="185" customWidth="1"/>
    <col min="10" max="18" width="11.28125" style="185" customWidth="1"/>
    <col min="19" max="16384" width="9.140625" style="8" customWidth="1"/>
  </cols>
  <sheetData>
    <row r="2" spans="1:18" s="122" customFormat="1" ht="15.75">
      <c r="A2" s="187"/>
      <c r="B2" s="121" t="s">
        <v>468</v>
      </c>
      <c r="C2" s="188"/>
      <c r="D2" s="188"/>
      <c r="E2" s="188"/>
      <c r="F2" s="188"/>
      <c r="G2" s="189"/>
      <c r="H2" s="188"/>
      <c r="I2" s="188"/>
      <c r="J2" s="188"/>
      <c r="K2" s="188"/>
      <c r="L2" s="188"/>
      <c r="M2" s="188"/>
      <c r="N2" s="188"/>
      <c r="O2" s="188"/>
      <c r="P2" s="188"/>
      <c r="Q2" s="188"/>
      <c r="R2" s="188"/>
    </row>
    <row r="4" spans="1:10" s="28" customFormat="1" ht="12.75">
      <c r="A4" s="184"/>
      <c r="B4" s="864" t="s">
        <v>197</v>
      </c>
      <c r="C4" s="868"/>
      <c r="D4" s="869"/>
      <c r="E4" s="869"/>
      <c r="F4" s="869"/>
      <c r="G4" s="869"/>
      <c r="H4" s="869"/>
      <c r="I4" s="869"/>
      <c r="J4" s="870"/>
    </row>
    <row r="5" spans="1:10" s="32" customFormat="1" ht="25.5">
      <c r="A5" s="184"/>
      <c r="B5" s="865"/>
      <c r="C5" s="361" t="s">
        <v>358</v>
      </c>
      <c r="D5" s="319">
        <v>2014</v>
      </c>
      <c r="E5" s="318" t="s">
        <v>359</v>
      </c>
      <c r="F5" s="319">
        <v>2015</v>
      </c>
      <c r="G5" s="318" t="s">
        <v>360</v>
      </c>
      <c r="H5" s="318">
        <v>2017</v>
      </c>
      <c r="I5" s="318" t="s">
        <v>578</v>
      </c>
      <c r="J5" s="320" t="s">
        <v>675</v>
      </c>
    </row>
    <row r="6" spans="1:10" s="9" customFormat="1" ht="12.75">
      <c r="A6" s="190"/>
      <c r="B6" s="369"/>
      <c r="C6" s="378"/>
      <c r="D6" s="192"/>
      <c r="E6" s="192"/>
      <c r="F6" s="192"/>
      <c r="G6" s="25"/>
      <c r="H6" s="25"/>
      <c r="I6" s="25"/>
      <c r="J6" s="78"/>
    </row>
    <row r="7" spans="1:10" s="9" customFormat="1" ht="12.75">
      <c r="A7" s="190"/>
      <c r="B7" s="370" t="s">
        <v>63</v>
      </c>
      <c r="C7" s="379">
        <f>+'Quarterly Data'!J6</f>
        <v>7162</v>
      </c>
      <c r="D7" s="70">
        <f>+'Quarterly Data'!R6</f>
        <v>7859</v>
      </c>
      <c r="E7" s="70">
        <f>+'Quarterly Data'!Z6</f>
        <v>7859</v>
      </c>
      <c r="F7" s="70">
        <f>+'Quarterly Data'!AH6</f>
        <v>6529</v>
      </c>
      <c r="G7" s="25">
        <f>+'Quarterly Data'!AP6</f>
        <v>5682</v>
      </c>
      <c r="H7" s="25">
        <f>+'Quarterly Data'!AX6</f>
        <v>5127</v>
      </c>
      <c r="I7" s="25">
        <f>+'Quarterly Data'!BF6</f>
        <v>3970</v>
      </c>
      <c r="J7" s="78">
        <f>+'Quarterly Data'!BN6</f>
        <v>3768</v>
      </c>
    </row>
    <row r="8" spans="1:10" s="9" customFormat="1" ht="12.75">
      <c r="A8" s="190"/>
      <c r="B8" s="370" t="s">
        <v>64</v>
      </c>
      <c r="C8" s="379">
        <f>+'Quarterly Data'!J7</f>
        <v>5998</v>
      </c>
      <c r="D8" s="70">
        <f>+'Quarterly Data'!R7</f>
        <v>5168</v>
      </c>
      <c r="E8" s="70">
        <f>+'Quarterly Data'!Z7</f>
        <v>5168</v>
      </c>
      <c r="F8" s="70">
        <f>+'Quarterly Data'!AH7</f>
        <v>5512</v>
      </c>
      <c r="G8" s="25">
        <f>+'Quarterly Data'!AP7</f>
        <v>6031</v>
      </c>
      <c r="H8" s="25">
        <f>+'Quarterly Data'!AX7</f>
        <v>5592</v>
      </c>
      <c r="I8" s="25">
        <f>+'Quarterly Data'!BF7</f>
        <v>5592</v>
      </c>
      <c r="J8" s="78">
        <f>+'Quarterly Data'!BN7</f>
        <v>6098</v>
      </c>
    </row>
    <row r="9" spans="1:10" s="9" customFormat="1" ht="12.75">
      <c r="A9" s="190"/>
      <c r="B9" s="370" t="s">
        <v>65</v>
      </c>
      <c r="C9" s="379">
        <f>+'Quarterly Data'!J8</f>
        <v>52</v>
      </c>
      <c r="D9" s="70">
        <f>+'Quarterly Data'!R8</f>
        <v>48</v>
      </c>
      <c r="E9" s="70">
        <f>+'Quarterly Data'!Z8</f>
        <v>48</v>
      </c>
      <c r="F9" s="70">
        <f>+'Quarterly Data'!AH8</f>
        <v>49</v>
      </c>
      <c r="G9" s="25">
        <f>+'Quarterly Data'!AP8</f>
        <v>51</v>
      </c>
      <c r="H9" s="25">
        <f>+'Quarterly Data'!AX8</f>
        <v>54</v>
      </c>
      <c r="I9" s="25">
        <f>+'Quarterly Data'!BF8</f>
        <v>54</v>
      </c>
      <c r="J9" s="78">
        <f>+'Quarterly Data'!BN8</f>
        <v>69</v>
      </c>
    </row>
    <row r="10" spans="1:10" s="9" customFormat="1" ht="12.75">
      <c r="A10" s="190"/>
      <c r="B10" s="370" t="s">
        <v>117</v>
      </c>
      <c r="C10" s="379">
        <f>+'Quarterly Data'!J9</f>
        <v>-908</v>
      </c>
      <c r="D10" s="70">
        <f>+'Quarterly Data'!R9</f>
        <v>-750</v>
      </c>
      <c r="E10" s="70">
        <f>+'Quarterly Data'!Z9</f>
        <v>-750</v>
      </c>
      <c r="F10" s="70">
        <f>+'Quarterly Data'!AH9</f>
        <v>-777</v>
      </c>
      <c r="G10" s="25">
        <f>+'Quarterly Data'!AP9</f>
        <v>-730</v>
      </c>
      <c r="H10" s="25">
        <f>+'Quarterly Data'!AX9</f>
        <v>-833</v>
      </c>
      <c r="I10" s="25">
        <f>+'Quarterly Data'!BF9</f>
        <v>-833</v>
      </c>
      <c r="J10" s="78">
        <f>+'Quarterly Data'!BN9</f>
        <v>-776</v>
      </c>
    </row>
    <row r="11" spans="1:10" s="9" customFormat="1" ht="12.75">
      <c r="A11" s="190"/>
      <c r="B11" s="367" t="s">
        <v>67</v>
      </c>
      <c r="C11" s="367">
        <f>+SUM(C7:C10)</f>
        <v>12304</v>
      </c>
      <c r="D11" s="74">
        <f>+SUM(D7:D10)</f>
        <v>12325</v>
      </c>
      <c r="E11" s="74">
        <f>+SUM(E7:E10)</f>
        <v>12325</v>
      </c>
      <c r="F11" s="74">
        <f>+SUM(F7:F10)</f>
        <v>11313</v>
      </c>
      <c r="G11" s="74">
        <f>+G7+G8+G9+G10</f>
        <v>11034</v>
      </c>
      <c r="H11" s="74">
        <f>+H7+H8+H9+H10</f>
        <v>9940</v>
      </c>
      <c r="I11" s="74">
        <f>+I7+I8+I9+I10</f>
        <v>8783</v>
      </c>
      <c r="J11" s="75">
        <f>+J7+J8+J9+J10</f>
        <v>9159</v>
      </c>
    </row>
    <row r="12" spans="1:10" s="11" customFormat="1" ht="12.75">
      <c r="A12" s="194"/>
      <c r="B12" s="368" t="s">
        <v>68</v>
      </c>
      <c r="C12" s="379">
        <f>+'Quarterly Data'!J11</f>
        <v>530</v>
      </c>
      <c r="D12" s="70">
        <f>+'Quarterly Data'!R11</f>
        <v>255</v>
      </c>
      <c r="E12" s="70">
        <f>+'Quarterly Data'!Z11</f>
        <v>255</v>
      </c>
      <c r="F12" s="70">
        <f>+'Quarterly Data'!AH11</f>
        <v>804</v>
      </c>
      <c r="G12" s="70">
        <f>+'Quarterly Data'!AP11</f>
        <v>232</v>
      </c>
      <c r="H12" s="70">
        <f>+'Quarterly Data'!AX11</f>
        <v>143</v>
      </c>
      <c r="I12" s="70">
        <f>+'Quarterly Data'!BF11</f>
        <v>143</v>
      </c>
      <c r="J12" s="487">
        <f>+'Quarterly Data'!BN11</f>
        <v>154</v>
      </c>
    </row>
    <row r="13" spans="1:10" s="6" customFormat="1" ht="12.75">
      <c r="A13" s="184"/>
      <c r="B13" s="367" t="s">
        <v>69</v>
      </c>
      <c r="C13" s="367">
        <f aca="true" t="shared" si="0" ref="C13:J13">+C11+C12</f>
        <v>12834</v>
      </c>
      <c r="D13" s="74">
        <f t="shared" si="0"/>
        <v>12580</v>
      </c>
      <c r="E13" s="74">
        <f t="shared" si="0"/>
        <v>12580</v>
      </c>
      <c r="F13" s="74">
        <f t="shared" si="0"/>
        <v>12117</v>
      </c>
      <c r="G13" s="174">
        <f t="shared" si="0"/>
        <v>11266</v>
      </c>
      <c r="H13" s="174">
        <f t="shared" si="0"/>
        <v>10083</v>
      </c>
      <c r="I13" s="174">
        <f t="shared" si="0"/>
        <v>8926</v>
      </c>
      <c r="J13" s="175">
        <f t="shared" si="0"/>
        <v>9313</v>
      </c>
    </row>
    <row r="14" spans="2:18" ht="12.75">
      <c r="B14" s="362"/>
      <c r="C14" s="362"/>
      <c r="D14" s="193"/>
      <c r="E14" s="193"/>
      <c r="F14" s="193"/>
      <c r="G14" s="76"/>
      <c r="H14" s="76"/>
      <c r="I14" s="25"/>
      <c r="J14" s="77"/>
      <c r="K14" s="8"/>
      <c r="L14" s="8"/>
      <c r="M14" s="8"/>
      <c r="N14" s="8"/>
      <c r="O14" s="8"/>
      <c r="P14" s="8"/>
      <c r="Q14" s="8"/>
      <c r="R14" s="8"/>
    </row>
    <row r="15" spans="2:18" ht="12.75">
      <c r="B15" s="368" t="s">
        <v>70</v>
      </c>
      <c r="C15" s="368">
        <f aca="true" t="shared" si="1" ref="C15:H15">-(C13+C16-C24)</f>
        <v>-11641</v>
      </c>
      <c r="D15" s="76">
        <f t="shared" si="1"/>
        <v>-11545</v>
      </c>
      <c r="E15" s="76">
        <f t="shared" si="1"/>
        <v>-11545</v>
      </c>
      <c r="F15" s="76">
        <f t="shared" si="1"/>
        <v>-10624</v>
      </c>
      <c r="G15" s="76">
        <f t="shared" si="1"/>
        <v>-10318</v>
      </c>
      <c r="H15" s="76">
        <f t="shared" si="1"/>
        <v>-8969</v>
      </c>
      <c r="I15" s="70">
        <f>+'Quarterly Data'!BF14</f>
        <v>-7812</v>
      </c>
      <c r="J15" s="78">
        <f>'Quarterly Data'!BN14</f>
        <v>-8183</v>
      </c>
      <c r="K15" s="9"/>
      <c r="L15" s="8"/>
      <c r="M15" s="8"/>
      <c r="N15" s="8"/>
      <c r="O15" s="8"/>
      <c r="P15" s="8"/>
      <c r="Q15" s="8"/>
      <c r="R15" s="8"/>
    </row>
    <row r="16" spans="2:18" ht="12.75">
      <c r="B16" s="368" t="s">
        <v>71</v>
      </c>
      <c r="C16" s="368">
        <f>+'Quarterly Data'!J15</f>
        <v>-223</v>
      </c>
      <c r="D16" s="76">
        <f>+'Quarterly Data'!R15</f>
        <v>-221</v>
      </c>
      <c r="E16" s="76">
        <f>+'Quarterly Data'!Z15</f>
        <v>-221</v>
      </c>
      <c r="F16" s="76">
        <f>+'Quarterly Data'!AH15</f>
        <v>-232</v>
      </c>
      <c r="G16" s="76">
        <f>+'Quarterly Data'!AP15</f>
        <v>-295</v>
      </c>
      <c r="H16" s="76">
        <f>+'Quarterly Data'!AX15</f>
        <v>-311</v>
      </c>
      <c r="I16" s="70">
        <f>+'Quarterly Data'!BF15</f>
        <v>-311</v>
      </c>
      <c r="J16" s="78">
        <f>+'Quarterly Data'!BN15</f>
        <v>-337</v>
      </c>
      <c r="K16" s="8"/>
      <c r="L16" s="8"/>
      <c r="M16" s="8"/>
      <c r="N16" s="8"/>
      <c r="O16" s="8"/>
      <c r="P16" s="8"/>
      <c r="Q16" s="8"/>
      <c r="R16" s="8"/>
    </row>
    <row r="17" spans="2:18" ht="12.75">
      <c r="B17" s="362"/>
      <c r="C17" s="362"/>
      <c r="D17" s="193"/>
      <c r="E17" s="193"/>
      <c r="F17" s="193"/>
      <c r="G17" s="76"/>
      <c r="H17" s="76"/>
      <c r="I17" s="25"/>
      <c r="J17" s="78"/>
      <c r="K17" s="8"/>
      <c r="L17" s="8"/>
      <c r="M17" s="8"/>
      <c r="N17" s="8"/>
      <c r="O17" s="8"/>
      <c r="P17" s="8"/>
      <c r="Q17" s="8"/>
      <c r="R17" s="8"/>
    </row>
    <row r="18" spans="1:10" s="9" customFormat="1" ht="12.75">
      <c r="A18" s="186"/>
      <c r="B18" s="371" t="s">
        <v>469</v>
      </c>
      <c r="C18" s="379">
        <f>+'Quarterly Data'!J17</f>
        <v>666</v>
      </c>
      <c r="D18" s="70">
        <f>+'Quarterly Data'!R17</f>
        <v>690</v>
      </c>
      <c r="E18" s="70">
        <f>+'Quarterly Data'!Z17</f>
        <v>690</v>
      </c>
      <c r="F18" s="70">
        <f>+'Quarterly Data'!AH17</f>
        <v>276</v>
      </c>
      <c r="G18" s="25">
        <f>+'Quarterly Data'!AP17</f>
        <v>242</v>
      </c>
      <c r="H18" s="25">
        <f>+'Quarterly Data'!BF17</f>
        <v>265</v>
      </c>
      <c r="I18" s="25">
        <f>+'Quarterly Data'!BF17</f>
        <v>265</v>
      </c>
      <c r="J18" s="78">
        <f>+'Quarterly Data'!BN17</f>
        <v>328</v>
      </c>
    </row>
    <row r="19" spans="1:10" s="9" customFormat="1" ht="15" customHeight="1">
      <c r="A19" s="186"/>
      <c r="B19" s="371" t="s">
        <v>470</v>
      </c>
      <c r="C19" s="379">
        <f>+'Quarterly Data'!J18</f>
        <v>415</v>
      </c>
      <c r="D19" s="70">
        <f>+'Quarterly Data'!R18</f>
        <v>255</v>
      </c>
      <c r="E19" s="70">
        <f>+'Quarterly Data'!Z18</f>
        <v>255</v>
      </c>
      <c r="F19" s="70">
        <f>+'Quarterly Data'!AH18</f>
        <v>1079</v>
      </c>
      <c r="G19" s="25">
        <f>+'Quarterly Data'!AP18</f>
        <v>505</v>
      </c>
      <c r="H19" s="25">
        <f>+'Quarterly Data'!AX18</f>
        <v>637</v>
      </c>
      <c r="I19" s="25">
        <f>+'Quarterly Data'!BF18</f>
        <v>637</v>
      </c>
      <c r="J19" s="78">
        <f>+'Quarterly Data'!BN18</f>
        <v>570</v>
      </c>
    </row>
    <row r="20" spans="1:10" s="9" customFormat="1" ht="15" customHeight="1">
      <c r="A20" s="186"/>
      <c r="B20" s="372" t="s">
        <v>493</v>
      </c>
      <c r="C20" s="379"/>
      <c r="D20" s="70"/>
      <c r="E20" s="70"/>
      <c r="F20" s="70"/>
      <c r="G20" s="25"/>
      <c r="H20" s="25"/>
      <c r="I20" s="25"/>
      <c r="J20" s="78"/>
    </row>
    <row r="21" spans="1:10" s="9" customFormat="1" ht="15" customHeight="1">
      <c r="A21" s="186"/>
      <c r="B21" s="373" t="s">
        <v>471</v>
      </c>
      <c r="C21" s="379">
        <f>+'Quarterly Data'!J20</f>
        <v>444</v>
      </c>
      <c r="D21" s="70">
        <f>+'Quarterly Data'!R20</f>
        <v>427</v>
      </c>
      <c r="E21" s="70">
        <f>+'Quarterly Data'!Z20</f>
        <v>427</v>
      </c>
      <c r="F21" s="70">
        <f>+'Quarterly Data'!AH20</f>
        <v>243</v>
      </c>
      <c r="G21" s="25">
        <f>+'Quarterly Data'!AP20</f>
        <v>182</v>
      </c>
      <c r="H21" s="25">
        <f>+'Quarterly Data'!AX20</f>
        <v>263</v>
      </c>
      <c r="I21" s="25">
        <f>+'Quarterly Data'!BF20</f>
        <v>263</v>
      </c>
      <c r="J21" s="78">
        <f>+'Quarterly Data'!BN20</f>
        <v>367</v>
      </c>
    </row>
    <row r="22" spans="1:10" s="9" customFormat="1" ht="15" customHeight="1">
      <c r="A22" s="186"/>
      <c r="B22" s="373" t="s">
        <v>348</v>
      </c>
      <c r="C22" s="379">
        <f>+'Quarterly Data'!J21</f>
        <v>-29</v>
      </c>
      <c r="D22" s="70">
        <f>+'Quarterly Data'!R21</f>
        <v>-172</v>
      </c>
      <c r="E22" s="70">
        <f>+'Quarterly Data'!Z21</f>
        <v>-172</v>
      </c>
      <c r="F22" s="70">
        <f>+'Quarterly Data'!AH21</f>
        <v>836</v>
      </c>
      <c r="G22" s="25">
        <f>+'Quarterly Data'!AP21</f>
        <v>323</v>
      </c>
      <c r="H22" s="25">
        <f>+'Quarterly Data'!AX21</f>
        <v>374</v>
      </c>
      <c r="I22" s="25">
        <f>+'Quarterly Data'!BF21</f>
        <v>374</v>
      </c>
      <c r="J22" s="78">
        <f>+'Quarterly Data'!BN21</f>
        <v>203</v>
      </c>
    </row>
    <row r="23" spans="1:10" s="9" customFormat="1" ht="12.75">
      <c r="A23" s="186"/>
      <c r="B23" s="371" t="s">
        <v>72</v>
      </c>
      <c r="C23" s="379">
        <f>+'Quarterly Data'!J22</f>
        <v>-111</v>
      </c>
      <c r="D23" s="70">
        <f>+'Quarterly Data'!R22</f>
        <v>-131</v>
      </c>
      <c r="E23" s="70">
        <f>+'Quarterly Data'!Z22</f>
        <v>-131</v>
      </c>
      <c r="F23" s="70">
        <f>+'Quarterly Data'!AH22</f>
        <v>-94</v>
      </c>
      <c r="G23" s="25">
        <f>+'Quarterly Data'!AP22</f>
        <v>-94</v>
      </c>
      <c r="H23" s="25">
        <f>+'Quarterly Data'!AX22</f>
        <v>-99</v>
      </c>
      <c r="I23" s="25">
        <f>+'Quarterly Data'!BF22</f>
        <v>-99</v>
      </c>
      <c r="J23" s="78">
        <f>+'Quarterly Data'!BN22</f>
        <v>-105</v>
      </c>
    </row>
    <row r="24" spans="1:10" s="10" customFormat="1" ht="12.75">
      <c r="A24" s="198"/>
      <c r="B24" s="367" t="s">
        <v>472</v>
      </c>
      <c r="C24" s="367">
        <f aca="true" t="shared" si="2" ref="C24:H24">+C18+C19+C23</f>
        <v>970</v>
      </c>
      <c r="D24" s="74">
        <f t="shared" si="2"/>
        <v>814</v>
      </c>
      <c r="E24" s="74">
        <f t="shared" si="2"/>
        <v>814</v>
      </c>
      <c r="F24" s="74">
        <f t="shared" si="2"/>
        <v>1261</v>
      </c>
      <c r="G24" s="74">
        <f t="shared" si="2"/>
        <v>653</v>
      </c>
      <c r="H24" s="74">
        <f t="shared" si="2"/>
        <v>803</v>
      </c>
      <c r="I24" s="74">
        <f>+I18+I19+I23</f>
        <v>803</v>
      </c>
      <c r="J24" s="75">
        <f>+J18+J19+J23</f>
        <v>793</v>
      </c>
    </row>
    <row r="25" spans="1:10" s="9" customFormat="1" ht="12.75">
      <c r="A25" s="186"/>
      <c r="B25" s="374"/>
      <c r="C25" s="374"/>
      <c r="D25" s="196"/>
      <c r="E25" s="196"/>
      <c r="F25" s="196"/>
      <c r="G25" s="25"/>
      <c r="H25" s="25"/>
      <c r="I25" s="25"/>
      <c r="J25" s="78"/>
    </row>
    <row r="26" spans="2:18" ht="12.75">
      <c r="B26" s="88" t="s">
        <v>275</v>
      </c>
      <c r="C26" s="368">
        <f>+'Quarterly Data'!J25</f>
        <v>-9</v>
      </c>
      <c r="D26" s="76">
        <f>+'Quarterly Data'!R25</f>
        <v>250</v>
      </c>
      <c r="E26" s="76">
        <f>+'Quarterly Data'!Z25</f>
        <v>250</v>
      </c>
      <c r="F26" s="76">
        <f>+'Quarterly Data'!AH25</f>
        <v>161</v>
      </c>
      <c r="G26" s="76">
        <f>+'Quarterly Data'!AP25</f>
        <v>-166</v>
      </c>
      <c r="H26" s="76">
        <f>+'Quarterly Data'!AX25</f>
        <v>-221</v>
      </c>
      <c r="I26" s="70">
        <f>+'Quarterly Data'!BF25</f>
        <v>-221</v>
      </c>
      <c r="J26" s="78">
        <f>+'Quarterly Data'!BN25</f>
        <v>-7</v>
      </c>
      <c r="K26" s="8"/>
      <c r="L26" s="8"/>
      <c r="M26" s="8"/>
      <c r="N26" s="8"/>
      <c r="O26" s="8"/>
      <c r="P26" s="8"/>
      <c r="Q26" s="8"/>
      <c r="R26" s="8"/>
    </row>
    <row r="27" spans="2:18" ht="12.75">
      <c r="B27" s="88" t="s">
        <v>389</v>
      </c>
      <c r="C27" s="368">
        <f>+'Quarterly Data'!J26</f>
        <v>-536</v>
      </c>
      <c r="D27" s="76">
        <f>+'Quarterly Data'!R26</f>
        <v>-521</v>
      </c>
      <c r="E27" s="76">
        <f>+'Quarterly Data'!Z26</f>
        <v>-521</v>
      </c>
      <c r="F27" s="76">
        <f>+'Quarterly Data'!AH26</f>
        <v>-660</v>
      </c>
      <c r="G27" s="76">
        <f>+'Quarterly Data'!AP26</f>
        <v>-478</v>
      </c>
      <c r="H27" s="76">
        <f>+'Quarterly Data'!AX26</f>
        <v>-486</v>
      </c>
      <c r="I27" s="70">
        <f>+'Quarterly Data'!BF26</f>
        <v>-486</v>
      </c>
      <c r="J27" s="78">
        <f>+'Quarterly Data'!BN26</f>
        <v>-464</v>
      </c>
      <c r="K27" s="8"/>
      <c r="L27" s="8"/>
      <c r="M27" s="8"/>
      <c r="N27" s="8"/>
      <c r="O27" s="8"/>
      <c r="P27" s="8"/>
      <c r="Q27" s="8"/>
      <c r="R27" s="8"/>
    </row>
    <row r="28" spans="1:10" s="17" customFormat="1" ht="12.75">
      <c r="A28" s="202"/>
      <c r="B28" s="488" t="s">
        <v>662</v>
      </c>
      <c r="C28" s="372">
        <f>+'Quarterly Data'!J27</f>
        <v>-92</v>
      </c>
      <c r="D28" s="19">
        <f>+'Quarterly Data'!R27</f>
        <v>-67</v>
      </c>
      <c r="E28" s="19">
        <f>+'Quarterly Data'!Z27</f>
        <v>-67</v>
      </c>
      <c r="F28" s="19">
        <f>+'Quarterly Data'!AH27</f>
        <v>-139</v>
      </c>
      <c r="G28" s="19">
        <f>+'Quarterly Data'!AP27</f>
        <v>-68</v>
      </c>
      <c r="H28" s="19">
        <f>+'Quarterly Data'!AX27</f>
        <v>-80</v>
      </c>
      <c r="I28" s="854">
        <f>+'Quarterly Data'!BF27</f>
        <v>-80</v>
      </c>
      <c r="J28" s="162">
        <f>+'Quarterly Data'!BN27</f>
        <v>-29</v>
      </c>
    </row>
    <row r="29" spans="2:18" ht="12.75">
      <c r="B29" s="88" t="s">
        <v>365</v>
      </c>
      <c r="C29" s="368">
        <f>+'Quarterly Data'!J28</f>
        <v>-100</v>
      </c>
      <c r="D29" s="76">
        <f>+'Quarterly Data'!R28</f>
        <v>-240</v>
      </c>
      <c r="E29" s="76">
        <f>+'Quarterly Data'!Z28</f>
        <v>-240</v>
      </c>
      <c r="F29" s="76">
        <f>+'Quarterly Data'!AH28</f>
        <v>-1534</v>
      </c>
      <c r="G29" s="76">
        <f>+'Quarterly Data'!AP28</f>
        <v>-256</v>
      </c>
      <c r="H29" s="76">
        <f>+'Quarterly Data'!AX28</f>
        <v>-169</v>
      </c>
      <c r="I29" s="70">
        <f>+'Quarterly Data'!BF28</f>
        <v>-169</v>
      </c>
      <c r="J29" s="78">
        <f>+'Quarterly Data'!BN28</f>
        <v>-100</v>
      </c>
      <c r="K29" s="8"/>
      <c r="L29" s="8"/>
      <c r="M29" s="8"/>
      <c r="N29" s="8"/>
      <c r="O29" s="8"/>
      <c r="P29" s="8"/>
      <c r="Q29" s="8"/>
      <c r="R29" s="8"/>
    </row>
    <row r="30" spans="2:18" ht="12.75">
      <c r="B30" s="88" t="s">
        <v>148</v>
      </c>
      <c r="C30" s="368">
        <f>+'Quarterly Data'!J29</f>
        <v>-4</v>
      </c>
      <c r="D30" s="76">
        <f>+'Quarterly Data'!R29</f>
        <v>-11</v>
      </c>
      <c r="E30" s="76">
        <f>+'Quarterly Data'!Z29</f>
        <v>-11</v>
      </c>
      <c r="F30" s="76">
        <f>+'Quarterly Data'!AH29</f>
        <v>-23</v>
      </c>
      <c r="G30" s="76">
        <f>+'Quarterly Data'!AP29</f>
        <v>-13</v>
      </c>
      <c r="H30" s="76">
        <f>+'Quarterly Data'!AX29</f>
        <v>115</v>
      </c>
      <c r="I30" s="70">
        <f>+'Quarterly Data'!BF29</f>
        <v>115</v>
      </c>
      <c r="J30" s="78">
        <f>+'Quarterly Data'!BN29</f>
        <v>-23</v>
      </c>
      <c r="K30" s="8"/>
      <c r="L30" s="8"/>
      <c r="M30" s="8"/>
      <c r="N30" s="8"/>
      <c r="O30" s="8"/>
      <c r="P30" s="8"/>
      <c r="Q30" s="8"/>
      <c r="R30" s="8"/>
    </row>
    <row r="31" spans="1:13" s="6" customFormat="1" ht="12.75">
      <c r="A31" s="184"/>
      <c r="B31" s="367" t="s">
        <v>390</v>
      </c>
      <c r="C31" s="367">
        <f aca="true" t="shared" si="3" ref="C31:I31">+C24+SUM(C26:C27,C29:C30)</f>
        <v>321</v>
      </c>
      <c r="D31" s="74">
        <f t="shared" si="3"/>
        <v>292</v>
      </c>
      <c r="E31" s="74">
        <f t="shared" si="3"/>
        <v>292</v>
      </c>
      <c r="F31" s="74">
        <f t="shared" si="3"/>
        <v>-795</v>
      </c>
      <c r="G31" s="74">
        <f t="shared" si="3"/>
        <v>-260</v>
      </c>
      <c r="H31" s="74">
        <f t="shared" si="3"/>
        <v>42</v>
      </c>
      <c r="I31" s="74">
        <f t="shared" si="3"/>
        <v>42</v>
      </c>
      <c r="J31" s="75">
        <f>+J24+SUM(J26:J27,J29:J30)</f>
        <v>199</v>
      </c>
      <c r="M31" s="397"/>
    </row>
    <row r="32" spans="1:10" s="22" customFormat="1" ht="12.75">
      <c r="A32" s="200"/>
      <c r="B32" s="375"/>
      <c r="C32" s="380"/>
      <c r="D32" s="201"/>
      <c r="E32" s="201"/>
      <c r="F32" s="201"/>
      <c r="G32" s="19"/>
      <c r="H32" s="19"/>
      <c r="I32" s="19"/>
      <c r="J32" s="162"/>
    </row>
    <row r="33" spans="2:18" ht="12.75">
      <c r="B33" s="368" t="s">
        <v>74</v>
      </c>
      <c r="C33" s="379">
        <f>+'Quarterly Data'!J33</f>
        <v>-112</v>
      </c>
      <c r="D33" s="70">
        <f>+'Quarterly Data'!R33</f>
        <v>-91</v>
      </c>
      <c r="E33" s="70">
        <f>+'Quarterly Data'!Z33</f>
        <v>-91</v>
      </c>
      <c r="F33" s="70">
        <f>+'Quarterly Data'!AH33</f>
        <v>-29</v>
      </c>
      <c r="G33" s="76">
        <f>+'Quarterly Data'!AP33</f>
        <v>-94</v>
      </c>
      <c r="H33" s="76">
        <f>+'Quarterly Data'!AX33</f>
        <v>-52</v>
      </c>
      <c r="I33" s="70">
        <f>+'Quarterly Data'!BF33</f>
        <v>-52</v>
      </c>
      <c r="J33" s="78">
        <f>+'Quarterly Data'!BN33</f>
        <v>-19</v>
      </c>
      <c r="K33" s="8"/>
      <c r="L33" s="8"/>
      <c r="M33" s="8"/>
      <c r="N33" s="8"/>
      <c r="O33" s="8"/>
      <c r="P33" s="8"/>
      <c r="Q33" s="8"/>
      <c r="R33" s="8"/>
    </row>
    <row r="34" spans="2:18" ht="12.75">
      <c r="B34" s="368" t="s">
        <v>75</v>
      </c>
      <c r="C34" s="379">
        <f>+'Quarterly Data'!J34</f>
        <v>8</v>
      </c>
      <c r="D34" s="70">
        <f>+'Quarterly Data'!R34</f>
        <v>13</v>
      </c>
      <c r="E34" s="70">
        <f>+'Quarterly Data'!Z34</f>
        <v>13</v>
      </c>
      <c r="F34" s="70">
        <f>+'Quarterly Data'!AH34</f>
        <v>-38</v>
      </c>
      <c r="G34" s="76">
        <f>+'Quarterly Data'!AP34</f>
        <v>7</v>
      </c>
      <c r="H34" s="76">
        <f>+'Quarterly Data'!AX34</f>
        <v>-31</v>
      </c>
      <c r="I34" s="70">
        <f>+'Quarterly Data'!BF34</f>
        <v>-31</v>
      </c>
      <c r="J34" s="78">
        <f>+'Quarterly Data'!BN34</f>
        <v>4</v>
      </c>
      <c r="K34" s="8"/>
      <c r="L34" s="8"/>
      <c r="M34" s="8"/>
      <c r="N34" s="8"/>
      <c r="O34" s="8"/>
      <c r="P34" s="8"/>
      <c r="Q34" s="8"/>
      <c r="R34" s="8"/>
    </row>
    <row r="35" spans="1:10" s="6" customFormat="1" ht="12.75">
      <c r="A35" s="184"/>
      <c r="B35" s="367" t="s">
        <v>149</v>
      </c>
      <c r="C35" s="367">
        <f aca="true" t="shared" si="4" ref="C35:H35">+C31+SUM(C33:C34)</f>
        <v>217</v>
      </c>
      <c r="D35" s="74">
        <f t="shared" si="4"/>
        <v>214</v>
      </c>
      <c r="E35" s="74">
        <f t="shared" si="4"/>
        <v>214</v>
      </c>
      <c r="F35" s="74">
        <f t="shared" si="4"/>
        <v>-862</v>
      </c>
      <c r="G35" s="174">
        <f t="shared" si="4"/>
        <v>-347</v>
      </c>
      <c r="H35" s="174">
        <f t="shared" si="4"/>
        <v>-41</v>
      </c>
      <c r="I35" s="456">
        <f>+I31+I33+I34</f>
        <v>-41</v>
      </c>
      <c r="J35" s="175">
        <f>+J31+SUM(J33:J34)</f>
        <v>184</v>
      </c>
    </row>
    <row r="36" spans="2:18" ht="12.75">
      <c r="B36" s="368" t="s">
        <v>76</v>
      </c>
      <c r="C36" s="379">
        <f>+'Quarterly Data'!J37</f>
        <v>-119</v>
      </c>
      <c r="D36" s="70">
        <f>+'Quarterly Data'!R37</f>
        <v>-159</v>
      </c>
      <c r="E36" s="70">
        <f>+'Quarterly Data'!Z37</f>
        <v>-159</v>
      </c>
      <c r="F36" s="70">
        <f>+'Quarterly Data'!AH37</f>
        <v>-97</v>
      </c>
      <c r="G36" s="76">
        <f>+'Quarterly Data'!AP37</f>
        <v>-25</v>
      </c>
      <c r="H36" s="76">
        <f>+'Quarterly Data'!AX37</f>
        <v>-122</v>
      </c>
      <c r="I36" s="70">
        <f>+'Quarterly Data'!BF37</f>
        <v>-122</v>
      </c>
      <c r="J36" s="78">
        <f>+'Quarterly Data'!BN37</f>
        <v>-117</v>
      </c>
      <c r="K36" s="8"/>
      <c r="L36" s="8"/>
      <c r="M36" s="8"/>
      <c r="N36" s="8"/>
      <c r="O36" s="8"/>
      <c r="P36" s="8"/>
      <c r="Q36" s="8"/>
      <c r="R36" s="8"/>
    </row>
    <row r="37" spans="2:18" ht="12.75" hidden="1" outlineLevel="1">
      <c r="B37" s="367" t="s">
        <v>150</v>
      </c>
      <c r="C37" s="367">
        <f aca="true" t="shared" si="5" ref="C37:H37">+C35+C36</f>
        <v>98</v>
      </c>
      <c r="D37" s="74">
        <f t="shared" si="5"/>
        <v>55</v>
      </c>
      <c r="E37" s="74">
        <f t="shared" si="5"/>
        <v>55</v>
      </c>
      <c r="F37" s="74">
        <f t="shared" si="5"/>
        <v>-959</v>
      </c>
      <c r="G37" s="174">
        <f t="shared" si="5"/>
        <v>-372</v>
      </c>
      <c r="H37" s="174">
        <f t="shared" si="5"/>
        <v>-163</v>
      </c>
      <c r="I37" s="70" t="s">
        <v>581</v>
      </c>
      <c r="J37" s="175">
        <f>+J35+J36</f>
        <v>67</v>
      </c>
      <c r="K37" s="8"/>
      <c r="L37" s="8"/>
      <c r="M37" s="8"/>
      <c r="N37" s="8"/>
      <c r="O37" s="8"/>
      <c r="P37" s="8"/>
      <c r="Q37" s="8"/>
      <c r="R37" s="8"/>
    </row>
    <row r="38" spans="2:18" ht="12.75" hidden="1" outlineLevel="1">
      <c r="B38" s="368" t="s">
        <v>147</v>
      </c>
      <c r="C38" s="379">
        <f>+'Quarterly Data'!J39</f>
        <v>0</v>
      </c>
      <c r="D38" s="70">
        <f>+'Quarterly Data'!R39</f>
        <v>0</v>
      </c>
      <c r="E38" s="70">
        <f>+'Quarterly Data'!Z39</f>
        <v>0</v>
      </c>
      <c r="F38" s="70">
        <f>+'Quarterly Data'!AH39</f>
        <v>0</v>
      </c>
      <c r="G38" s="76">
        <f>+'Quarterly Data'!AP39</f>
        <v>0</v>
      </c>
      <c r="H38" s="76">
        <f>+'Quarterly Data'!AX39</f>
        <v>0</v>
      </c>
      <c r="I38" s="457">
        <f>+'Quarterly Data'!AY39</f>
        <v>0</v>
      </c>
      <c r="J38" s="77">
        <f>+'Quarterly Data'!AZ39</f>
        <v>0</v>
      </c>
      <c r="K38" s="8"/>
      <c r="L38" s="8"/>
      <c r="M38" s="8"/>
      <c r="N38" s="8"/>
      <c r="O38" s="8"/>
      <c r="P38" s="8"/>
      <c r="Q38" s="8"/>
      <c r="R38" s="8"/>
    </row>
    <row r="39" spans="1:10" s="6" customFormat="1" ht="12.75" collapsed="1">
      <c r="A39" s="184"/>
      <c r="B39" s="365" t="s">
        <v>77</v>
      </c>
      <c r="C39" s="365">
        <f aca="true" t="shared" si="6" ref="C39:H39">+C37+C38</f>
        <v>98</v>
      </c>
      <c r="D39" s="174">
        <f t="shared" si="6"/>
        <v>55</v>
      </c>
      <c r="E39" s="174">
        <f t="shared" si="6"/>
        <v>55</v>
      </c>
      <c r="F39" s="174">
        <f t="shared" si="6"/>
        <v>-959</v>
      </c>
      <c r="G39" s="174">
        <f t="shared" si="6"/>
        <v>-372</v>
      </c>
      <c r="H39" s="174">
        <f t="shared" si="6"/>
        <v>-163</v>
      </c>
      <c r="I39" s="456">
        <f>+I35+I36</f>
        <v>-163</v>
      </c>
      <c r="J39" s="175">
        <f>+J37+J38</f>
        <v>67</v>
      </c>
    </row>
    <row r="40" spans="1:10" s="10" customFormat="1" ht="12.75">
      <c r="A40" s="190"/>
      <c r="B40" s="372" t="s">
        <v>78</v>
      </c>
      <c r="C40" s="381"/>
      <c r="D40" s="195"/>
      <c r="E40" s="195"/>
      <c r="F40" s="195"/>
      <c r="G40" s="253"/>
      <c r="H40" s="253"/>
      <c r="I40" s="458"/>
      <c r="J40" s="247"/>
    </row>
    <row r="41" spans="2:18" ht="12.75">
      <c r="B41" s="368" t="s">
        <v>171</v>
      </c>
      <c r="C41" s="379">
        <f>+'Quarterly Data'!J41</f>
        <v>-2</v>
      </c>
      <c r="D41" s="70">
        <f>+'Quarterly Data'!R41</f>
        <v>-15</v>
      </c>
      <c r="E41" s="70">
        <f>+'Quarterly Data'!Z41</f>
        <v>-15</v>
      </c>
      <c r="F41" s="70">
        <f>+'Quarterly Data'!AH41</f>
        <v>-21</v>
      </c>
      <c r="G41" s="76">
        <f>+'Quarterly Data'!AP41</f>
        <v>-17</v>
      </c>
      <c r="H41" s="76">
        <f>+'Quarterly Data'!AX41</f>
        <v>-13</v>
      </c>
      <c r="I41" s="70">
        <f>+'Quarterly Data'!BF41</f>
        <v>-13</v>
      </c>
      <c r="J41" s="78">
        <f>+'Quarterly Data'!BN41</f>
        <v>-13</v>
      </c>
      <c r="K41" s="8"/>
      <c r="L41" s="8"/>
      <c r="M41" s="8"/>
      <c r="N41" s="8"/>
      <c r="O41" s="8"/>
      <c r="P41" s="8"/>
      <c r="Q41" s="8"/>
      <c r="R41" s="8"/>
    </row>
    <row r="42" spans="2:18" ht="12.75">
      <c r="B42" s="376" t="s">
        <v>79</v>
      </c>
      <c r="C42" s="367">
        <f aca="true" t="shared" si="7" ref="C42:H42">+C39+C41</f>
        <v>96</v>
      </c>
      <c r="D42" s="74">
        <f t="shared" si="7"/>
        <v>40</v>
      </c>
      <c r="E42" s="74">
        <f t="shared" si="7"/>
        <v>40</v>
      </c>
      <c r="F42" s="74">
        <f t="shared" si="7"/>
        <v>-980</v>
      </c>
      <c r="G42" s="174">
        <f t="shared" si="7"/>
        <v>-389</v>
      </c>
      <c r="H42" s="174">
        <f t="shared" si="7"/>
        <v>-176</v>
      </c>
      <c r="I42" s="456">
        <f>+I39+I41</f>
        <v>-176</v>
      </c>
      <c r="J42" s="175">
        <f>+J39+J41</f>
        <v>54</v>
      </c>
      <c r="K42" s="8"/>
      <c r="L42" s="8"/>
      <c r="M42" s="8"/>
      <c r="N42" s="8"/>
      <c r="O42" s="8"/>
      <c r="P42" s="8"/>
      <c r="Q42" s="8"/>
      <c r="R42" s="8"/>
    </row>
    <row r="43" spans="1:10" s="9" customFormat="1" ht="12.75">
      <c r="A43" s="204"/>
      <c r="B43" s="377"/>
      <c r="C43" s="374"/>
      <c r="D43" s="196"/>
      <c r="E43" s="196"/>
      <c r="F43" s="196"/>
      <c r="G43" s="25"/>
      <c r="H43" s="25"/>
      <c r="I43" s="25"/>
      <c r="J43" s="78"/>
    </row>
    <row r="44" spans="1:10" s="10" customFormat="1" ht="12.75">
      <c r="A44" s="190"/>
      <c r="B44" s="376" t="s">
        <v>504</v>
      </c>
      <c r="C44" s="376">
        <f>+'Quarterly Data'!J58</f>
        <v>3183</v>
      </c>
      <c r="D44" s="79">
        <f>+'Quarterly Data'!R58</f>
        <v>3101</v>
      </c>
      <c r="E44" s="79">
        <f>+'Quarterly Data'!Z58</f>
        <v>3101</v>
      </c>
      <c r="F44" s="79">
        <f>+'Quarterly Data'!AH58</f>
        <v>3066</v>
      </c>
      <c r="G44" s="176">
        <f>+'Quarterly Data'!AP58</f>
        <v>4949</v>
      </c>
      <c r="H44" s="176">
        <f>+'Quarterly Data'!BF58</f>
        <v>5144</v>
      </c>
      <c r="I44" s="176">
        <f>+'Quarterly Data'!BF58</f>
        <v>5144</v>
      </c>
      <c r="J44" s="177">
        <f>'Quarterly Data'!BN58</f>
        <v>5372</v>
      </c>
    </row>
    <row r="45" spans="3:18" ht="12.75">
      <c r="C45" s="193"/>
      <c r="D45" s="193"/>
      <c r="E45" s="193"/>
      <c r="F45" s="193"/>
      <c r="G45" s="8"/>
      <c r="H45" s="8"/>
      <c r="I45" s="8"/>
      <c r="J45" s="8"/>
      <c r="K45" s="8"/>
      <c r="L45" s="8"/>
      <c r="M45" s="8"/>
      <c r="N45" s="8"/>
      <c r="O45" s="8"/>
      <c r="P45" s="8"/>
      <c r="Q45" s="8"/>
      <c r="R45" s="8"/>
    </row>
    <row r="46" spans="3:18" ht="12.75">
      <c r="C46" s="193"/>
      <c r="D46" s="193"/>
      <c r="E46" s="193"/>
      <c r="F46" s="193"/>
      <c r="G46" s="8"/>
      <c r="H46" s="8"/>
      <c r="I46" s="8"/>
      <c r="J46" s="8"/>
      <c r="K46" s="8"/>
      <c r="L46" s="8"/>
      <c r="M46" s="8"/>
      <c r="N46" s="8"/>
      <c r="O46" s="8"/>
      <c r="P46" s="8"/>
      <c r="Q46" s="8"/>
      <c r="R46" s="8"/>
    </row>
    <row r="47" spans="2:18" ht="12.75">
      <c r="B47" s="866" t="s">
        <v>80</v>
      </c>
      <c r="C47" s="382"/>
      <c r="D47" s="383"/>
      <c r="E47" s="869"/>
      <c r="F47" s="869"/>
      <c r="G47" s="869"/>
      <c r="H47" s="869"/>
      <c r="I47" s="869"/>
      <c r="J47" s="870"/>
      <c r="K47" s="8"/>
      <c r="L47" s="8"/>
      <c r="M47" s="8"/>
      <c r="N47" s="8"/>
      <c r="O47" s="8"/>
      <c r="P47" s="8"/>
      <c r="Q47" s="8"/>
      <c r="R47" s="8"/>
    </row>
    <row r="48" spans="2:18" ht="25.5">
      <c r="B48" s="867"/>
      <c r="C48" s="361" t="str">
        <f>+C5</f>
        <v>2013 Restated</v>
      </c>
      <c r="D48" s="319">
        <f>+D5</f>
        <v>2014</v>
      </c>
      <c r="E48" s="318" t="str">
        <f>+E5</f>
        <v>2014 Restated</v>
      </c>
      <c r="F48" s="319">
        <f>+F5</f>
        <v>2015</v>
      </c>
      <c r="G48" s="318" t="str">
        <f>+G5</f>
        <v>2016 (1)</v>
      </c>
      <c r="H48" s="318">
        <f>H5</f>
        <v>2017</v>
      </c>
      <c r="I48" s="318" t="str">
        <f>I5</f>
        <v>2017 Restated (3)</v>
      </c>
      <c r="J48" s="320" t="s">
        <v>675</v>
      </c>
      <c r="K48" s="8"/>
      <c r="L48" s="8"/>
      <c r="M48" s="8"/>
      <c r="N48" s="8"/>
      <c r="O48" s="8"/>
      <c r="P48" s="8"/>
      <c r="Q48" s="8"/>
      <c r="R48" s="8"/>
    </row>
    <row r="49" spans="1:10" s="9" customFormat="1" ht="12.75" customHeight="1">
      <c r="A49" s="190"/>
      <c r="B49" s="315"/>
      <c r="C49" s="378"/>
      <c r="D49" s="191"/>
      <c r="E49" s="192"/>
      <c r="F49" s="192"/>
      <c r="G49" s="351"/>
      <c r="H49" s="351"/>
      <c r="I49" s="351"/>
      <c r="J49" s="279"/>
    </row>
    <row r="50" spans="1:10" s="9" customFormat="1" ht="12.75" customHeight="1">
      <c r="A50" s="190"/>
      <c r="B50" s="313" t="s">
        <v>81</v>
      </c>
      <c r="C50" s="384">
        <f>4344+6</f>
        <v>4350</v>
      </c>
      <c r="D50" s="71">
        <f>4348+6</f>
        <v>4354</v>
      </c>
      <c r="E50" s="71">
        <f>4348+6</f>
        <v>4354</v>
      </c>
      <c r="F50" s="71">
        <v>3684</v>
      </c>
      <c r="G50" s="71">
        <f>3937+5</f>
        <v>3942</v>
      </c>
      <c r="H50" s="71">
        <f>3657+5</f>
        <v>3662</v>
      </c>
      <c r="I50" s="71">
        <f>3657+5</f>
        <v>3662</v>
      </c>
      <c r="J50" s="248">
        <v>3647</v>
      </c>
    </row>
    <row r="51" spans="1:10" s="9" customFormat="1" ht="12.75" customHeight="1">
      <c r="A51" s="190"/>
      <c r="B51" s="313" t="s">
        <v>361</v>
      </c>
      <c r="C51" s="384">
        <v>3231</v>
      </c>
      <c r="D51" s="71">
        <v>3070</v>
      </c>
      <c r="E51" s="71">
        <v>3070</v>
      </c>
      <c r="F51" s="71">
        <v>2355</v>
      </c>
      <c r="G51" s="71">
        <v>2357</v>
      </c>
      <c r="H51" s="71">
        <v>2313</v>
      </c>
      <c r="I51" s="71">
        <v>2313</v>
      </c>
      <c r="J51" s="248">
        <v>2403</v>
      </c>
    </row>
    <row r="52" spans="1:10" s="9" customFormat="1" ht="12.75" customHeight="1">
      <c r="A52" s="190"/>
      <c r="B52" s="313" t="s">
        <v>362</v>
      </c>
      <c r="C52" s="384">
        <f>860+114</f>
        <v>974</v>
      </c>
      <c r="D52" s="71">
        <f>739+118</f>
        <v>857</v>
      </c>
      <c r="E52" s="71">
        <f>739+118</f>
        <v>857</v>
      </c>
      <c r="F52" s="71">
        <f>480+118</f>
        <v>598</v>
      </c>
      <c r="G52" s="71">
        <f>396+128</f>
        <v>524</v>
      </c>
      <c r="H52" s="71">
        <f>322+154</f>
        <v>476</v>
      </c>
      <c r="I52" s="71">
        <v>476</v>
      </c>
      <c r="J52" s="248">
        <v>617</v>
      </c>
    </row>
    <row r="53" spans="1:10" s="9" customFormat="1" ht="12.75" customHeight="1">
      <c r="A53" s="190"/>
      <c r="B53" s="313" t="s">
        <v>363</v>
      </c>
      <c r="C53" s="384">
        <f>144+183+106</f>
        <v>433</v>
      </c>
      <c r="D53" s="71">
        <f>149+174+47</f>
        <v>370</v>
      </c>
      <c r="E53" s="71">
        <f>149+174+47</f>
        <v>370</v>
      </c>
      <c r="F53" s="71">
        <v>265</v>
      </c>
      <c r="G53" s="71">
        <f>104+158+94</f>
        <v>356</v>
      </c>
      <c r="H53" s="71">
        <f>67+1+80</f>
        <v>148</v>
      </c>
      <c r="I53" s="71">
        <f>64+4+80</f>
        <v>148</v>
      </c>
      <c r="J53" s="248">
        <f>71+3+66</f>
        <v>140</v>
      </c>
    </row>
    <row r="54" spans="1:10" s="9" customFormat="1" ht="12" customHeight="1">
      <c r="A54" s="190"/>
      <c r="B54" s="313" t="s">
        <v>82</v>
      </c>
      <c r="C54" s="384">
        <f>486+2876-1997</f>
        <v>1365</v>
      </c>
      <c r="D54" s="71">
        <f>479+2848-2321</f>
        <v>1006</v>
      </c>
      <c r="E54" s="71">
        <f>479+2848-2321</f>
        <v>1006</v>
      </c>
      <c r="F54" s="71">
        <v>997</v>
      </c>
      <c r="G54" s="71">
        <f>1830+180-1607</f>
        <v>403</v>
      </c>
      <c r="H54" s="71">
        <f>1656+182-1696</f>
        <v>142</v>
      </c>
      <c r="I54" s="71">
        <f>1656+182-1696</f>
        <v>142</v>
      </c>
      <c r="J54" s="248">
        <f>1654+223-1580</f>
        <v>297</v>
      </c>
    </row>
    <row r="55" spans="2:18" ht="12.75">
      <c r="B55" s="313" t="s">
        <v>111</v>
      </c>
      <c r="C55" s="384">
        <v>-628</v>
      </c>
      <c r="D55" s="71">
        <v>-717</v>
      </c>
      <c r="E55" s="71">
        <v>-717</v>
      </c>
      <c r="F55" s="71">
        <v>-845</v>
      </c>
      <c r="G55" s="71">
        <v>-211</v>
      </c>
      <c r="H55" s="71">
        <v>-380</v>
      </c>
      <c r="I55" s="71">
        <v>-380</v>
      </c>
      <c r="J55" s="248">
        <v>-507</v>
      </c>
      <c r="K55" s="8"/>
      <c r="L55" s="8"/>
      <c r="M55" s="8"/>
      <c r="N55" s="8"/>
      <c r="O55" s="8"/>
      <c r="P55" s="8"/>
      <c r="Q55" s="8"/>
      <c r="R55" s="8"/>
    </row>
    <row r="56" spans="2:18" ht="12.75">
      <c r="B56" s="314"/>
      <c r="C56" s="379"/>
      <c r="D56" s="70"/>
      <c r="E56" s="70"/>
      <c r="F56" s="71"/>
      <c r="G56" s="71"/>
      <c r="H56" s="71"/>
      <c r="I56" s="71"/>
      <c r="J56" s="248"/>
      <c r="K56" s="8"/>
      <c r="L56" s="8"/>
      <c r="M56" s="8"/>
      <c r="N56" s="8"/>
      <c r="O56" s="8"/>
      <c r="P56" s="8"/>
      <c r="Q56" s="8"/>
      <c r="R56" s="8"/>
    </row>
    <row r="57" spans="2:18" ht="12.75">
      <c r="B57" s="313" t="s">
        <v>83</v>
      </c>
      <c r="C57" s="384">
        <v>-35</v>
      </c>
      <c r="D57" s="71">
        <v>-37</v>
      </c>
      <c r="E57" s="71">
        <v>-37</v>
      </c>
      <c r="F57" s="71">
        <v>-31</v>
      </c>
      <c r="G57" s="71">
        <v>-44</v>
      </c>
      <c r="H57" s="71">
        <v>-42</v>
      </c>
      <c r="I57" s="71">
        <v>-42</v>
      </c>
      <c r="J57" s="248">
        <v>-40</v>
      </c>
      <c r="K57" s="8"/>
      <c r="L57" s="8"/>
      <c r="M57" s="8"/>
      <c r="N57" s="8"/>
      <c r="O57" s="8"/>
      <c r="P57" s="8"/>
      <c r="Q57" s="8"/>
      <c r="R57" s="8"/>
    </row>
    <row r="58" spans="2:18" ht="12.75">
      <c r="B58" s="314"/>
      <c r="C58" s="374"/>
      <c r="D58" s="196"/>
      <c r="E58" s="196"/>
      <c r="F58" s="196"/>
      <c r="G58" s="196"/>
      <c r="H58" s="196"/>
      <c r="I58" s="76"/>
      <c r="J58" s="199"/>
      <c r="K58" s="8"/>
      <c r="L58" s="8"/>
      <c r="M58" s="8"/>
      <c r="N58" s="8"/>
      <c r="O58" s="8"/>
      <c r="P58" s="8"/>
      <c r="Q58" s="8"/>
      <c r="R58" s="8"/>
    </row>
    <row r="59" spans="1:10" s="6" customFormat="1" ht="12.75">
      <c r="A59" s="184"/>
      <c r="B59" s="312" t="s">
        <v>84</v>
      </c>
      <c r="C59" s="367">
        <f aca="true" t="shared" si="8" ref="C59:I59">+SUM(C50:C57)</f>
        <v>9690</v>
      </c>
      <c r="D59" s="74">
        <f t="shared" si="8"/>
        <v>8903</v>
      </c>
      <c r="E59" s="74">
        <f>+SUM(E50:E57)</f>
        <v>8903</v>
      </c>
      <c r="F59" s="74">
        <f t="shared" si="8"/>
        <v>7023</v>
      </c>
      <c r="G59" s="74">
        <f t="shared" si="8"/>
        <v>7327</v>
      </c>
      <c r="H59" s="74">
        <f t="shared" si="8"/>
        <v>6319</v>
      </c>
      <c r="I59" s="74">
        <f t="shared" si="8"/>
        <v>6319</v>
      </c>
      <c r="J59" s="75">
        <f>+SUM(J50:J57)</f>
        <v>6557</v>
      </c>
    </row>
    <row r="60" spans="2:18" ht="12.75">
      <c r="B60" s="314"/>
      <c r="C60" s="362"/>
      <c r="D60" s="193"/>
      <c r="E60" s="193"/>
      <c r="F60" s="193"/>
      <c r="G60" s="193"/>
      <c r="H60" s="193"/>
      <c r="I60" s="76"/>
      <c r="J60" s="197"/>
      <c r="L60" s="8"/>
      <c r="M60" s="8"/>
      <c r="N60" s="8"/>
      <c r="O60" s="8"/>
      <c r="P60" s="8"/>
      <c r="Q60" s="8"/>
      <c r="R60" s="8"/>
    </row>
    <row r="61" spans="2:18" ht="12.75">
      <c r="B61" s="313" t="s">
        <v>85</v>
      </c>
      <c r="C61" s="379">
        <f>+'Quarterly Data'!J50</f>
        <v>7126</v>
      </c>
      <c r="D61" s="70">
        <f>+'Quarterly Data'!R50</f>
        <v>6627</v>
      </c>
      <c r="E61" s="70">
        <f>+'Quarterly Data'!Z50</f>
        <v>6627</v>
      </c>
      <c r="F61" s="70">
        <f>+'Quarterly Data'!AH50</f>
        <v>5439</v>
      </c>
      <c r="G61" s="70">
        <f>+'Quarterly Data'!AP50</f>
        <v>5955</v>
      </c>
      <c r="H61" s="70">
        <f>+'Quarterly Data'!AX50</f>
        <v>5915</v>
      </c>
      <c r="I61" s="70">
        <f>+'Quarterly Data'!BF50</f>
        <v>5915</v>
      </c>
      <c r="J61" s="487">
        <f>+'Quarterly Data'!BN50</f>
        <v>5886</v>
      </c>
      <c r="K61" s="8"/>
      <c r="L61" s="8"/>
      <c r="M61" s="8"/>
      <c r="N61" s="8"/>
      <c r="O61" s="8"/>
      <c r="P61" s="8"/>
      <c r="Q61" s="8"/>
      <c r="R61" s="8"/>
    </row>
    <row r="62" spans="2:18" ht="12.75">
      <c r="B62" s="313" t="s">
        <v>112</v>
      </c>
      <c r="C62" s="384">
        <v>113</v>
      </c>
      <c r="D62" s="71">
        <v>510</v>
      </c>
      <c r="E62" s="71">
        <v>510</v>
      </c>
      <c r="F62" s="71">
        <v>437</v>
      </c>
      <c r="G62" s="71">
        <v>310</v>
      </c>
      <c r="H62" s="71">
        <v>288</v>
      </c>
      <c r="I62" s="71">
        <v>288</v>
      </c>
      <c r="J62" s="248">
        <v>255</v>
      </c>
      <c r="K62" s="8"/>
      <c r="L62" s="8"/>
      <c r="M62" s="8"/>
      <c r="N62" s="8"/>
      <c r="O62" s="8"/>
      <c r="P62" s="8"/>
      <c r="Q62" s="8"/>
      <c r="R62" s="8"/>
    </row>
    <row r="63" spans="1:10" s="6" customFormat="1" ht="12.75">
      <c r="A63" s="184"/>
      <c r="B63" s="312" t="s">
        <v>86</v>
      </c>
      <c r="C63" s="367">
        <f aca="true" t="shared" si="9" ref="C63:J63">+C61+C62</f>
        <v>7239</v>
      </c>
      <c r="D63" s="74">
        <f t="shared" si="9"/>
        <v>7137</v>
      </c>
      <c r="E63" s="74">
        <f t="shared" si="9"/>
        <v>7137</v>
      </c>
      <c r="F63" s="74">
        <f t="shared" si="9"/>
        <v>5876</v>
      </c>
      <c r="G63" s="74">
        <f t="shared" si="9"/>
        <v>6265</v>
      </c>
      <c r="H63" s="74">
        <f t="shared" si="9"/>
        <v>6203</v>
      </c>
      <c r="I63" s="74">
        <f t="shared" si="9"/>
        <v>6203</v>
      </c>
      <c r="J63" s="75">
        <f t="shared" si="9"/>
        <v>6141</v>
      </c>
    </row>
    <row r="64" spans="1:10" s="6" customFormat="1" ht="12.75">
      <c r="A64" s="184"/>
      <c r="B64" s="316"/>
      <c r="C64" s="381"/>
      <c r="D64" s="195"/>
      <c r="E64" s="195"/>
      <c r="F64" s="195"/>
      <c r="G64" s="195"/>
      <c r="H64" s="195"/>
      <c r="I64" s="195"/>
      <c r="J64" s="203"/>
    </row>
    <row r="65" spans="1:10" s="6" customFormat="1" ht="12.75">
      <c r="A65" s="184"/>
      <c r="B65" s="312" t="s">
        <v>87</v>
      </c>
      <c r="C65" s="367">
        <f>+'Quarterly Data'!J52</f>
        <v>2451</v>
      </c>
      <c r="D65" s="74">
        <f>+'Quarterly Data'!R52</f>
        <v>1766</v>
      </c>
      <c r="E65" s="74">
        <f>+'Quarterly Data'!Z52</f>
        <v>1766</v>
      </c>
      <c r="F65" s="74">
        <f>+'Quarterly Data'!AH52</f>
        <v>1147</v>
      </c>
      <c r="G65" s="74">
        <f>+'Quarterly Data'!AP52</f>
        <v>1062</v>
      </c>
      <c r="H65" s="74">
        <f>+'Quarterly Data'!AX52</f>
        <v>116</v>
      </c>
      <c r="I65" s="74">
        <f>+'Quarterly Data'!BF52</f>
        <v>116</v>
      </c>
      <c r="J65" s="75">
        <f>+'Quarterly Data'!BN52</f>
        <v>416</v>
      </c>
    </row>
    <row r="66" spans="2:18" ht="12.75">
      <c r="B66" s="314"/>
      <c r="C66" s="362"/>
      <c r="D66" s="193"/>
      <c r="E66" s="193"/>
      <c r="F66" s="193"/>
      <c r="G66" s="193"/>
      <c r="H66" s="193"/>
      <c r="I66" s="76"/>
      <c r="J66" s="197"/>
      <c r="K66" s="8"/>
      <c r="L66" s="8"/>
      <c r="M66" s="8"/>
      <c r="N66" s="8"/>
      <c r="O66" s="8"/>
      <c r="P66" s="8"/>
      <c r="Q66" s="8"/>
      <c r="R66" s="8"/>
    </row>
    <row r="67" spans="1:10" s="17" customFormat="1" ht="12.75">
      <c r="A67" s="202"/>
      <c r="B67" s="317" t="s">
        <v>0</v>
      </c>
      <c r="C67" s="385">
        <f aca="true" t="shared" si="10" ref="C67:J67">+C59-C63-C65</f>
        <v>0</v>
      </c>
      <c r="D67" s="249">
        <f t="shared" si="10"/>
        <v>0</v>
      </c>
      <c r="E67" s="249">
        <f t="shared" si="10"/>
        <v>0</v>
      </c>
      <c r="F67" s="249">
        <f t="shared" si="10"/>
        <v>0</v>
      </c>
      <c r="G67" s="249">
        <f t="shared" si="10"/>
        <v>0</v>
      </c>
      <c r="H67" s="249">
        <f t="shared" si="10"/>
        <v>0</v>
      </c>
      <c r="I67" s="249">
        <f t="shared" si="10"/>
        <v>0</v>
      </c>
      <c r="J67" s="280">
        <f t="shared" si="10"/>
        <v>0</v>
      </c>
    </row>
    <row r="68" spans="3:18" ht="12.75">
      <c r="C68" s="186"/>
      <c r="D68" s="186"/>
      <c r="E68" s="186"/>
      <c r="F68" s="186"/>
      <c r="H68" s="196"/>
      <c r="I68" s="196"/>
      <c r="J68" s="196"/>
      <c r="K68" s="196"/>
      <c r="L68" s="196"/>
      <c r="M68" s="196"/>
      <c r="N68" s="196"/>
      <c r="O68" s="8"/>
      <c r="P68" s="8"/>
      <c r="Q68" s="8"/>
      <c r="R68" s="8"/>
    </row>
    <row r="69" spans="3:18" ht="12.75">
      <c r="C69" s="186"/>
      <c r="D69" s="186"/>
      <c r="E69" s="186"/>
      <c r="F69" s="186"/>
      <c r="H69" s="196"/>
      <c r="I69" s="196"/>
      <c r="J69" s="196"/>
      <c r="K69" s="196"/>
      <c r="L69" s="196"/>
      <c r="M69" s="196"/>
      <c r="N69" s="196"/>
      <c r="O69" s="8"/>
      <c r="P69" s="8"/>
      <c r="Q69" s="8"/>
      <c r="R69" s="8"/>
    </row>
    <row r="70" spans="7:18" ht="12.75">
      <c r="G70" s="8"/>
      <c r="H70" s="196"/>
      <c r="I70" s="196"/>
      <c r="J70" s="196"/>
      <c r="K70" s="196"/>
      <c r="L70" s="196"/>
      <c r="M70" s="196"/>
      <c r="N70" s="196"/>
      <c r="O70" s="8"/>
      <c r="P70" s="8"/>
      <c r="Q70" s="8"/>
      <c r="R70" s="8"/>
    </row>
    <row r="71" spans="2:18" ht="12.75">
      <c r="B71" s="173"/>
      <c r="G71" s="8"/>
      <c r="H71" s="8"/>
      <c r="I71" s="8"/>
      <c r="J71" s="8"/>
      <c r="K71" s="8"/>
      <c r="L71" s="8"/>
      <c r="M71" s="8"/>
      <c r="N71" s="8"/>
      <c r="O71" s="8"/>
      <c r="P71" s="8"/>
      <c r="Q71" s="8"/>
      <c r="R71" s="8"/>
    </row>
    <row r="72" spans="2:18" ht="12.75">
      <c r="B72" s="864" t="s">
        <v>17</v>
      </c>
      <c r="C72" s="868"/>
      <c r="D72" s="869"/>
      <c r="E72" s="869"/>
      <c r="F72" s="869"/>
      <c r="G72" s="869"/>
      <c r="H72" s="869"/>
      <c r="I72" s="869"/>
      <c r="J72" s="870"/>
      <c r="K72" s="8"/>
      <c r="L72" s="8"/>
      <c r="M72" s="8"/>
      <c r="N72" s="8"/>
      <c r="O72" s="8"/>
      <c r="P72" s="8"/>
      <c r="Q72" s="8"/>
      <c r="R72" s="8"/>
    </row>
    <row r="73" spans="2:18" ht="25.5">
      <c r="B73" s="865"/>
      <c r="C73" s="361" t="str">
        <f aca="true" t="shared" si="11" ref="C73:H73">+C5</f>
        <v>2013 Restated</v>
      </c>
      <c r="D73" s="319">
        <f t="shared" si="11"/>
        <v>2014</v>
      </c>
      <c r="E73" s="318" t="str">
        <f t="shared" si="11"/>
        <v>2014 Restated</v>
      </c>
      <c r="F73" s="319">
        <f t="shared" si="11"/>
        <v>2015</v>
      </c>
      <c r="G73" s="318" t="str">
        <f t="shared" si="11"/>
        <v>2016 (1)</v>
      </c>
      <c r="H73" s="318">
        <f t="shared" si="11"/>
        <v>2017</v>
      </c>
      <c r="I73" s="318" t="s">
        <v>578</v>
      </c>
      <c r="J73" s="320" t="s">
        <v>675</v>
      </c>
      <c r="K73" s="8"/>
      <c r="L73" s="8"/>
      <c r="M73" s="8"/>
      <c r="N73" s="8"/>
      <c r="O73" s="8"/>
      <c r="P73" s="8"/>
      <c r="Q73" s="8"/>
      <c r="R73" s="8"/>
    </row>
    <row r="74" spans="2:18" ht="12.75">
      <c r="B74" s="362"/>
      <c r="C74" s="362"/>
      <c r="D74" s="193"/>
      <c r="E74" s="193"/>
      <c r="F74" s="193"/>
      <c r="G74" s="76"/>
      <c r="H74" s="76"/>
      <c r="I74" s="76"/>
      <c r="J74" s="77"/>
      <c r="K74" s="8"/>
      <c r="L74" s="8"/>
      <c r="M74" s="8"/>
      <c r="N74" s="8"/>
      <c r="O74" s="8"/>
      <c r="P74" s="8"/>
      <c r="Q74" s="8"/>
      <c r="R74" s="8"/>
    </row>
    <row r="75" spans="2:18" ht="12.75">
      <c r="B75" s="367" t="s">
        <v>391</v>
      </c>
      <c r="C75" s="363">
        <v>2508</v>
      </c>
      <c r="D75" s="74">
        <f>+C93</f>
        <v>2451</v>
      </c>
      <c r="E75" s="74">
        <f>+C65</f>
        <v>2451</v>
      </c>
      <c r="F75" s="74">
        <f>+D93</f>
        <v>1766</v>
      </c>
      <c r="G75" s="74">
        <f>+F93</f>
        <v>1147</v>
      </c>
      <c r="H75" s="74">
        <f>+G93</f>
        <v>1062</v>
      </c>
      <c r="I75" s="74">
        <f>+G93</f>
        <v>1062</v>
      </c>
      <c r="J75" s="75">
        <f>+I93</f>
        <v>116</v>
      </c>
      <c r="K75" s="8"/>
      <c r="L75" s="8"/>
      <c r="M75" s="8"/>
      <c r="N75" s="8"/>
      <c r="O75" s="8"/>
      <c r="P75" s="8"/>
      <c r="Q75" s="8"/>
      <c r="R75" s="8"/>
    </row>
    <row r="76" spans="2:18" ht="12.75">
      <c r="B76" s="362"/>
      <c r="C76" s="362"/>
      <c r="D76" s="193"/>
      <c r="E76" s="193"/>
      <c r="F76" s="193"/>
      <c r="G76" s="193"/>
      <c r="H76" s="76"/>
      <c r="I76" s="76"/>
      <c r="J76" s="77"/>
      <c r="K76" s="8"/>
      <c r="L76" s="8"/>
      <c r="M76" s="8"/>
      <c r="N76" s="8"/>
      <c r="O76" s="8"/>
      <c r="P76" s="8"/>
      <c r="Q76" s="8"/>
      <c r="R76" s="8"/>
    </row>
    <row r="77" spans="2:18" ht="12.75">
      <c r="B77" s="368" t="s">
        <v>1</v>
      </c>
      <c r="C77" s="362">
        <f>+C24</f>
        <v>970</v>
      </c>
      <c r="D77" s="193">
        <f>+D24</f>
        <v>814</v>
      </c>
      <c r="E77" s="193">
        <f>+D24</f>
        <v>814</v>
      </c>
      <c r="F77" s="193">
        <f>+F24</f>
        <v>1261</v>
      </c>
      <c r="G77" s="193">
        <f>+G24</f>
        <v>653</v>
      </c>
      <c r="H77" s="193">
        <f>+H24</f>
        <v>803</v>
      </c>
      <c r="I77" s="193">
        <f>+I24</f>
        <v>803</v>
      </c>
      <c r="J77" s="199">
        <f>+J24</f>
        <v>793</v>
      </c>
      <c r="K77" s="8"/>
      <c r="L77" s="8"/>
      <c r="M77" s="8"/>
      <c r="N77" s="8"/>
      <c r="O77" s="8"/>
      <c r="P77" s="8"/>
      <c r="Q77" s="8"/>
      <c r="R77" s="8"/>
    </row>
    <row r="78" spans="2:18" ht="12.75">
      <c r="B78" s="368" t="s">
        <v>242</v>
      </c>
      <c r="C78" s="364">
        <v>-83</v>
      </c>
      <c r="D78" s="73">
        <v>-25</v>
      </c>
      <c r="E78" s="73">
        <v>-25</v>
      </c>
      <c r="F78" s="73">
        <v>38</v>
      </c>
      <c r="G78" s="73">
        <v>-76</v>
      </c>
      <c r="H78" s="73">
        <v>26</v>
      </c>
      <c r="I78" s="73">
        <v>26</v>
      </c>
      <c r="J78" s="489">
        <v>-45</v>
      </c>
      <c r="K78" s="8"/>
      <c r="L78" s="8"/>
      <c r="M78" s="8"/>
      <c r="N78" s="8"/>
      <c r="O78" s="8"/>
      <c r="P78" s="8"/>
      <c r="Q78" s="8"/>
      <c r="R78" s="8"/>
    </row>
    <row r="79" spans="2:18" ht="12.75">
      <c r="B79" s="368" t="s">
        <v>258</v>
      </c>
      <c r="C79" s="364">
        <v>-93</v>
      </c>
      <c r="D79" s="73">
        <v>-98</v>
      </c>
      <c r="E79" s="73">
        <v>-98</v>
      </c>
      <c r="F79" s="73">
        <v>-45</v>
      </c>
      <c r="G79" s="73">
        <v>-55</v>
      </c>
      <c r="H79" s="73">
        <v>-20</v>
      </c>
      <c r="I79" s="73">
        <v>-20</v>
      </c>
      <c r="J79" s="489">
        <v>-13</v>
      </c>
      <c r="K79" s="8"/>
      <c r="L79" s="8"/>
      <c r="M79" s="8"/>
      <c r="N79" s="8"/>
      <c r="O79" s="8"/>
      <c r="P79" s="8"/>
      <c r="Q79" s="8"/>
      <c r="R79" s="8"/>
    </row>
    <row r="80" spans="1:10" s="9" customFormat="1" ht="12.75">
      <c r="A80" s="190"/>
      <c r="B80" s="368" t="s">
        <v>259</v>
      </c>
      <c r="C80" s="364">
        <v>-170</v>
      </c>
      <c r="D80" s="73">
        <v>-249</v>
      </c>
      <c r="E80" s="73">
        <v>-249</v>
      </c>
      <c r="F80" s="73">
        <v>-120</v>
      </c>
      <c r="G80" s="73">
        <v>-196</v>
      </c>
      <c r="H80" s="73">
        <v>-63</v>
      </c>
      <c r="I80" s="73">
        <v>-63</v>
      </c>
      <c r="J80" s="489">
        <v>-110</v>
      </c>
    </row>
    <row r="81" spans="1:10" s="9" customFormat="1" ht="12.75">
      <c r="A81" s="190"/>
      <c r="B81" s="368" t="s">
        <v>88</v>
      </c>
      <c r="C81" s="364">
        <v>5</v>
      </c>
      <c r="D81" s="73">
        <v>9</v>
      </c>
      <c r="E81" s="73">
        <v>9</v>
      </c>
      <c r="F81" s="73">
        <v>8</v>
      </c>
      <c r="G81" s="73">
        <v>12</v>
      </c>
      <c r="H81" s="73">
        <v>17</v>
      </c>
      <c r="I81" s="73">
        <v>17</v>
      </c>
      <c r="J81" s="489">
        <v>11</v>
      </c>
    </row>
    <row r="82" spans="1:10" s="9" customFormat="1" ht="12.75">
      <c r="A82" s="190"/>
      <c r="B82" s="368" t="s">
        <v>260</v>
      </c>
      <c r="C82" s="364">
        <v>-15</v>
      </c>
      <c r="D82" s="73">
        <v>-21</v>
      </c>
      <c r="E82" s="73">
        <v>-21</v>
      </c>
      <c r="F82" s="73">
        <v>-16</v>
      </c>
      <c r="G82" s="73">
        <v>-15</v>
      </c>
      <c r="H82" s="73">
        <v>1</v>
      </c>
      <c r="I82" s="73">
        <v>1</v>
      </c>
      <c r="J82" s="489">
        <v>-25</v>
      </c>
    </row>
    <row r="83" spans="1:10" s="9" customFormat="1" ht="12.75">
      <c r="A83" s="190"/>
      <c r="B83" s="367" t="s">
        <v>261</v>
      </c>
      <c r="C83" s="365">
        <f>+SUM(C77:C82)</f>
        <v>614</v>
      </c>
      <c r="D83" s="174">
        <f>+SUM(D77:D82)</f>
        <v>430</v>
      </c>
      <c r="E83" s="174">
        <f>+E77+E78+E79+E80+E81+E82</f>
        <v>430</v>
      </c>
      <c r="F83" s="174">
        <f>+SUM(F77:F82)</f>
        <v>1126</v>
      </c>
      <c r="G83" s="174">
        <f>+SUM(G77:G82)</f>
        <v>323</v>
      </c>
      <c r="H83" s="174">
        <f>+SUM(H77:H82)</f>
        <v>764</v>
      </c>
      <c r="I83" s="174">
        <f>+SUM(I77:I82)</f>
        <v>764</v>
      </c>
      <c r="J83" s="175">
        <f>+SUM(J77:J82)</f>
        <v>611</v>
      </c>
    </row>
    <row r="84" spans="1:10" s="9" customFormat="1" ht="12.75">
      <c r="A84" s="190"/>
      <c r="B84" s="368" t="s">
        <v>262</v>
      </c>
      <c r="C84" s="364">
        <v>-62</v>
      </c>
      <c r="D84" s="73">
        <v>408</v>
      </c>
      <c r="E84" s="73">
        <v>408</v>
      </c>
      <c r="F84" s="73">
        <v>19</v>
      </c>
      <c r="G84" s="73">
        <v>649</v>
      </c>
      <c r="H84" s="73">
        <v>208</v>
      </c>
      <c r="I84" s="73">
        <v>208</v>
      </c>
      <c r="J84" s="489">
        <v>-13</v>
      </c>
    </row>
    <row r="85" spans="1:10" s="9" customFormat="1" ht="12.75">
      <c r="A85" s="190"/>
      <c r="B85" s="368" t="s">
        <v>243</v>
      </c>
      <c r="C85" s="364">
        <v>-201</v>
      </c>
      <c r="D85" s="73">
        <v>23</v>
      </c>
      <c r="E85" s="73">
        <v>23</v>
      </c>
      <c r="F85" s="73">
        <v>40</v>
      </c>
      <c r="G85" s="73">
        <v>-177</v>
      </c>
      <c r="H85" s="73">
        <v>-8</v>
      </c>
      <c r="I85" s="73">
        <v>-8</v>
      </c>
      <c r="J85" s="489">
        <v>-13</v>
      </c>
    </row>
    <row r="86" spans="1:10" s="9" customFormat="1" ht="12.75">
      <c r="A86" s="190"/>
      <c r="B86" s="368" t="s">
        <v>263</v>
      </c>
      <c r="C86" s="364">
        <v>-308</v>
      </c>
      <c r="D86" s="73">
        <v>-92</v>
      </c>
      <c r="E86" s="73">
        <v>-92</v>
      </c>
      <c r="F86" s="73">
        <v>-535</v>
      </c>
      <c r="G86" s="73">
        <v>-555</v>
      </c>
      <c r="H86" s="73">
        <v>-489</v>
      </c>
      <c r="I86" s="73">
        <v>-489</v>
      </c>
      <c r="J86" s="489">
        <v>-838</v>
      </c>
    </row>
    <row r="87" spans="1:10" s="9" customFormat="1" ht="12.75">
      <c r="A87" s="190"/>
      <c r="B87" s="368" t="s">
        <v>534</v>
      </c>
      <c r="C87" s="364">
        <v>0</v>
      </c>
      <c r="D87" s="73"/>
      <c r="E87" s="73">
        <v>0</v>
      </c>
      <c r="F87" s="73">
        <v>0</v>
      </c>
      <c r="G87" s="73">
        <v>0</v>
      </c>
      <c r="H87" s="73">
        <v>489</v>
      </c>
      <c r="I87" s="73">
        <v>489</v>
      </c>
      <c r="J87" s="489">
        <v>0</v>
      </c>
    </row>
    <row r="88" spans="2:18" ht="12.75">
      <c r="B88" s="365" t="s">
        <v>264</v>
      </c>
      <c r="C88" s="365">
        <f aca="true" t="shared" si="12" ref="C88:H88">+SUM(C83:C87)</f>
        <v>43</v>
      </c>
      <c r="D88" s="174">
        <f t="shared" si="12"/>
        <v>769</v>
      </c>
      <c r="E88" s="174">
        <f t="shared" si="12"/>
        <v>769</v>
      </c>
      <c r="F88" s="174">
        <f t="shared" si="12"/>
        <v>650</v>
      </c>
      <c r="G88" s="174">
        <f t="shared" si="12"/>
        <v>240</v>
      </c>
      <c r="H88" s="174">
        <f t="shared" si="12"/>
        <v>964</v>
      </c>
      <c r="I88" s="174">
        <f>+SUM(I83:I87)</f>
        <v>964</v>
      </c>
      <c r="J88" s="175">
        <f>+SUM(J83:J87)</f>
        <v>-253</v>
      </c>
      <c r="K88" s="8"/>
      <c r="L88" s="8"/>
      <c r="M88" s="8"/>
      <c r="N88" s="8"/>
      <c r="O88" s="8"/>
      <c r="P88" s="8"/>
      <c r="Q88" s="8"/>
      <c r="R88" s="8"/>
    </row>
    <row r="89" spans="2:18" ht="12.75">
      <c r="B89" s="368" t="s">
        <v>265</v>
      </c>
      <c r="C89" s="364">
        <v>-20</v>
      </c>
      <c r="D89" s="73">
        <v>-76</v>
      </c>
      <c r="E89" s="73">
        <v>-76</v>
      </c>
      <c r="F89" s="73">
        <v>-93</v>
      </c>
      <c r="G89" s="73">
        <v>-77</v>
      </c>
      <c r="H89" s="73">
        <v>-46</v>
      </c>
      <c r="I89" s="73">
        <v>-46</v>
      </c>
      <c r="J89" s="489">
        <v>-47</v>
      </c>
      <c r="K89" s="8"/>
      <c r="L89" s="8"/>
      <c r="M89" s="8"/>
      <c r="N89" s="8"/>
      <c r="O89" s="8"/>
      <c r="P89" s="8"/>
      <c r="Q89" s="8"/>
      <c r="R89" s="8"/>
    </row>
    <row r="90" spans="2:18" ht="12.75">
      <c r="B90" s="368" t="s">
        <v>244</v>
      </c>
      <c r="C90" s="364">
        <v>34</v>
      </c>
      <c r="D90" s="73">
        <v>-8</v>
      </c>
      <c r="E90" s="73">
        <v>-8</v>
      </c>
      <c r="F90" s="73">
        <v>62</v>
      </c>
      <c r="G90" s="73">
        <v>-78</v>
      </c>
      <c r="H90" s="73">
        <v>28</v>
      </c>
      <c r="I90" s="73">
        <v>28</v>
      </c>
      <c r="J90" s="489">
        <v>0</v>
      </c>
      <c r="K90" s="8"/>
      <c r="L90" s="8"/>
      <c r="M90" s="8"/>
      <c r="N90" s="8"/>
      <c r="O90" s="8"/>
      <c r="P90" s="8"/>
      <c r="Q90" s="8"/>
      <c r="R90" s="8"/>
    </row>
    <row r="91" spans="2:18" ht="12.75">
      <c r="B91" s="365" t="s">
        <v>266</v>
      </c>
      <c r="C91" s="365">
        <f>+SUM(C88:C90)</f>
        <v>57</v>
      </c>
      <c r="D91" s="174">
        <f>+SUM(D88:D90)</f>
        <v>685</v>
      </c>
      <c r="E91" s="174">
        <f>+E88+E89+E90</f>
        <v>685</v>
      </c>
      <c r="F91" s="174">
        <f>+SUM(F88:F90)</f>
        <v>619</v>
      </c>
      <c r="G91" s="174">
        <f>+SUM(G88:G90)</f>
        <v>85</v>
      </c>
      <c r="H91" s="174">
        <f>+SUM(H88:H90)</f>
        <v>946</v>
      </c>
      <c r="I91" s="174">
        <f>+SUM(I88:I90)</f>
        <v>946</v>
      </c>
      <c r="J91" s="175">
        <f>+SUM(J88:J90)</f>
        <v>-300</v>
      </c>
      <c r="K91" s="8"/>
      <c r="L91" s="8"/>
      <c r="M91" s="8"/>
      <c r="N91" s="8"/>
      <c r="O91" s="8"/>
      <c r="P91" s="8"/>
      <c r="Q91" s="8"/>
      <c r="R91" s="8"/>
    </row>
    <row r="92" spans="2:18" ht="12.75">
      <c r="B92" s="362"/>
      <c r="C92" s="362"/>
      <c r="D92" s="193"/>
      <c r="E92" s="193"/>
      <c r="F92" s="193"/>
      <c r="G92" s="193"/>
      <c r="H92" s="76"/>
      <c r="I92" s="76"/>
      <c r="J92" s="77"/>
      <c r="K92" s="8"/>
      <c r="L92" s="8"/>
      <c r="M92" s="8"/>
      <c r="N92" s="8"/>
      <c r="O92" s="8"/>
      <c r="P92" s="8"/>
      <c r="Q92" s="8"/>
      <c r="R92" s="8"/>
    </row>
    <row r="93" spans="2:18" ht="12.75">
      <c r="B93" s="366" t="s">
        <v>267</v>
      </c>
      <c r="C93" s="366">
        <f aca="true" t="shared" si="13" ref="C93:H93">+C75-C91</f>
        <v>2451</v>
      </c>
      <c r="D93" s="176">
        <f t="shared" si="13"/>
        <v>1766</v>
      </c>
      <c r="E93" s="176">
        <f t="shared" si="13"/>
        <v>1766</v>
      </c>
      <c r="F93" s="176">
        <f t="shared" si="13"/>
        <v>1147</v>
      </c>
      <c r="G93" s="176">
        <f t="shared" si="13"/>
        <v>1062</v>
      </c>
      <c r="H93" s="176">
        <f t="shared" si="13"/>
        <v>116</v>
      </c>
      <c r="I93" s="176">
        <f>+I75-I91</f>
        <v>116</v>
      </c>
      <c r="J93" s="177">
        <f>+J75-J91</f>
        <v>416</v>
      </c>
      <c r="K93" s="8"/>
      <c r="L93" s="8"/>
      <c r="M93" s="8"/>
      <c r="N93" s="8"/>
      <c r="O93" s="8"/>
      <c r="P93" s="8"/>
      <c r="Q93" s="8"/>
      <c r="R93" s="8"/>
    </row>
    <row r="94" spans="8:18" ht="12.75">
      <c r="H94" s="8"/>
      <c r="I94" s="8"/>
      <c r="J94" s="8"/>
      <c r="K94" s="8"/>
      <c r="L94" s="8"/>
      <c r="M94" s="8"/>
      <c r="N94" s="8"/>
      <c r="O94" s="8"/>
      <c r="P94" s="8"/>
      <c r="Q94" s="8"/>
      <c r="R94" s="8"/>
    </row>
    <row r="95" spans="2:18" ht="12.75">
      <c r="B95" s="276" t="s">
        <v>356</v>
      </c>
      <c r="C95" s="276"/>
      <c r="D95" s="276"/>
      <c r="E95" s="276"/>
      <c r="F95" s="276"/>
      <c r="G95" s="276"/>
      <c r="H95" s="8"/>
      <c r="I95" s="8"/>
      <c r="J95" s="8"/>
      <c r="K95" s="8"/>
      <c r="L95" s="8"/>
      <c r="M95" s="8"/>
      <c r="N95" s="8"/>
      <c r="O95" s="8"/>
      <c r="P95" s="8"/>
      <c r="Q95" s="8"/>
      <c r="R95" s="8"/>
    </row>
    <row r="96" spans="2:23" ht="12.75">
      <c r="B96" s="275" t="s">
        <v>700</v>
      </c>
      <c r="C96" s="275"/>
      <c r="D96" s="275"/>
      <c r="E96" s="275"/>
      <c r="F96" s="275"/>
      <c r="G96" s="275"/>
      <c r="H96" s="282"/>
      <c r="I96" s="282"/>
      <c r="J96" s="282"/>
      <c r="K96" s="282"/>
      <c r="L96" s="282"/>
      <c r="M96" s="282"/>
      <c r="N96" s="282"/>
      <c r="O96" s="282"/>
      <c r="P96" s="282"/>
      <c r="Q96" s="282"/>
      <c r="R96" s="282"/>
      <c r="S96" s="282"/>
      <c r="T96" s="282"/>
      <c r="U96" s="282"/>
      <c r="V96" s="282"/>
      <c r="W96" s="282"/>
    </row>
    <row r="97" spans="2:18" ht="12.75">
      <c r="B97" s="490" t="s">
        <v>582</v>
      </c>
      <c r="H97" s="8"/>
      <c r="I97" s="8"/>
      <c r="J97" s="8"/>
      <c r="K97" s="8"/>
      <c r="L97" s="8"/>
      <c r="M97" s="8"/>
      <c r="N97" s="8"/>
      <c r="O97" s="8"/>
      <c r="P97" s="8"/>
      <c r="Q97" s="8"/>
      <c r="R97" s="8"/>
    </row>
    <row r="98" spans="2:18" ht="38.25">
      <c r="B98" s="861" t="s">
        <v>676</v>
      </c>
      <c r="H98" s="8"/>
      <c r="I98" s="8"/>
      <c r="J98" s="8"/>
      <c r="K98" s="8"/>
      <c r="L98" s="8"/>
      <c r="M98" s="8"/>
      <c r="N98" s="8"/>
      <c r="O98" s="8"/>
      <c r="P98" s="8"/>
      <c r="Q98" s="8"/>
      <c r="R98" s="8"/>
    </row>
    <row r="99" spans="1:7" s="17" customFormat="1" ht="12.75">
      <c r="A99" s="202"/>
      <c r="B99" s="185"/>
      <c r="C99" s="185"/>
      <c r="D99" s="185"/>
      <c r="E99" s="185"/>
      <c r="F99" s="185"/>
      <c r="G99" s="186"/>
    </row>
    <row r="100" spans="8:18" ht="12.75">
      <c r="H100" s="8"/>
      <c r="I100" s="8"/>
      <c r="J100" s="8"/>
      <c r="K100" s="8"/>
      <c r="L100" s="8"/>
      <c r="M100" s="8"/>
      <c r="N100" s="8"/>
      <c r="O100" s="8"/>
      <c r="P100" s="8"/>
      <c r="Q100" s="8"/>
      <c r="R100" s="8"/>
    </row>
    <row r="101" spans="8:18" ht="12.75">
      <c r="H101" s="8"/>
      <c r="I101" s="8"/>
      <c r="J101" s="8"/>
      <c r="K101" s="8"/>
      <c r="L101" s="8"/>
      <c r="M101" s="8"/>
      <c r="N101" s="8"/>
      <c r="O101" s="8"/>
      <c r="P101" s="8"/>
      <c r="Q101" s="8"/>
      <c r="R101" s="8"/>
    </row>
    <row r="102" spans="8:18" ht="12.75">
      <c r="H102" s="8"/>
      <c r="I102" s="8"/>
      <c r="J102" s="8"/>
      <c r="K102" s="8"/>
      <c r="L102" s="8"/>
      <c r="M102" s="8"/>
      <c r="N102" s="8"/>
      <c r="O102" s="8"/>
      <c r="P102" s="8"/>
      <c r="Q102" s="8"/>
      <c r="R102" s="8"/>
    </row>
    <row r="103" spans="8:18" ht="12.75">
      <c r="H103" s="8"/>
      <c r="I103" s="8"/>
      <c r="J103" s="8"/>
      <c r="K103" s="8"/>
      <c r="L103" s="8"/>
      <c r="M103" s="8"/>
      <c r="N103" s="8"/>
      <c r="O103" s="8"/>
      <c r="P103" s="8"/>
      <c r="Q103" s="8"/>
      <c r="R103" s="8"/>
    </row>
    <row r="104" spans="8:18" ht="12.75">
      <c r="H104" s="8"/>
      <c r="I104" s="8"/>
      <c r="J104" s="8"/>
      <c r="K104" s="8"/>
      <c r="L104" s="8"/>
      <c r="M104" s="8"/>
      <c r="N104" s="8"/>
      <c r="O104" s="8"/>
      <c r="P104" s="8"/>
      <c r="Q104" s="8"/>
      <c r="R104" s="8"/>
    </row>
    <row r="105" spans="8:18" ht="12.75">
      <c r="H105" s="8"/>
      <c r="I105" s="8"/>
      <c r="J105" s="8"/>
      <c r="K105" s="8"/>
      <c r="L105" s="8"/>
      <c r="M105" s="8"/>
      <c r="N105" s="8"/>
      <c r="O105" s="8"/>
      <c r="P105" s="8"/>
      <c r="Q105" s="8"/>
      <c r="R105" s="8"/>
    </row>
    <row r="106" spans="8:18" ht="12.75">
      <c r="H106" s="8"/>
      <c r="I106" s="8"/>
      <c r="J106" s="8"/>
      <c r="K106" s="8"/>
      <c r="L106" s="8"/>
      <c r="M106" s="8"/>
      <c r="N106" s="8"/>
      <c r="O106" s="8"/>
      <c r="P106" s="8"/>
      <c r="Q106" s="8"/>
      <c r="R106" s="8"/>
    </row>
    <row r="107" spans="8:18" ht="12.75">
      <c r="H107" s="8"/>
      <c r="I107" s="8"/>
      <c r="J107" s="8"/>
      <c r="K107" s="8"/>
      <c r="L107" s="8"/>
      <c r="M107" s="8"/>
      <c r="N107" s="8"/>
      <c r="O107" s="8"/>
      <c r="P107" s="8"/>
      <c r="Q107" s="8"/>
      <c r="R107" s="8"/>
    </row>
    <row r="108" spans="8:18" ht="12.75">
      <c r="H108" s="8"/>
      <c r="I108" s="8"/>
      <c r="J108" s="8"/>
      <c r="K108" s="8"/>
      <c r="L108" s="8"/>
      <c r="M108" s="8"/>
      <c r="N108" s="8"/>
      <c r="O108" s="8"/>
      <c r="P108" s="8"/>
      <c r="Q108" s="8"/>
      <c r="R108" s="8"/>
    </row>
    <row r="109" spans="8:18" ht="12.75">
      <c r="H109" s="8"/>
      <c r="I109" s="8"/>
      <c r="J109" s="8"/>
      <c r="K109" s="8"/>
      <c r="L109" s="8"/>
      <c r="M109" s="8"/>
      <c r="N109" s="8"/>
      <c r="O109" s="8"/>
      <c r="P109" s="8"/>
      <c r="Q109" s="8"/>
      <c r="R109" s="8"/>
    </row>
    <row r="110" spans="8:18" ht="12.75">
      <c r="H110" s="8"/>
      <c r="I110" s="8"/>
      <c r="J110" s="8"/>
      <c r="K110" s="8"/>
      <c r="L110" s="8"/>
      <c r="M110" s="8"/>
      <c r="N110" s="8"/>
      <c r="O110" s="8"/>
      <c r="P110" s="8"/>
      <c r="Q110" s="8"/>
      <c r="R110" s="8"/>
    </row>
    <row r="111" spans="8:18" ht="12.75">
      <c r="H111" s="8"/>
      <c r="I111" s="8"/>
      <c r="J111" s="8"/>
      <c r="K111" s="8"/>
      <c r="L111" s="8"/>
      <c r="M111" s="8"/>
      <c r="N111" s="8"/>
      <c r="O111" s="8"/>
      <c r="P111" s="8"/>
      <c r="Q111" s="8"/>
      <c r="R111" s="8"/>
    </row>
    <row r="112" spans="8:18" ht="12.75">
      <c r="H112" s="8"/>
      <c r="I112" s="8"/>
      <c r="J112" s="8"/>
      <c r="K112" s="8"/>
      <c r="L112" s="8"/>
      <c r="M112" s="8"/>
      <c r="N112" s="8"/>
      <c r="O112" s="8"/>
      <c r="P112" s="8"/>
      <c r="Q112" s="8"/>
      <c r="R112" s="8"/>
    </row>
    <row r="113" spans="8:18" ht="12.75">
      <c r="H113" s="8"/>
      <c r="I113" s="8"/>
      <c r="J113" s="8"/>
      <c r="K113" s="8"/>
      <c r="L113" s="8"/>
      <c r="M113" s="8"/>
      <c r="N113" s="8"/>
      <c r="O113" s="8"/>
      <c r="P113" s="8"/>
      <c r="Q113" s="8"/>
      <c r="R113" s="8"/>
    </row>
    <row r="114" spans="8:18" ht="12.75">
      <c r="H114" s="8"/>
      <c r="I114" s="8"/>
      <c r="J114" s="8"/>
      <c r="K114" s="8"/>
      <c r="L114" s="8"/>
      <c r="M114" s="8"/>
      <c r="N114" s="8"/>
      <c r="O114" s="8"/>
      <c r="P114" s="8"/>
      <c r="Q114" s="8"/>
      <c r="R114" s="8"/>
    </row>
    <row r="115" spans="8:18" ht="12.75">
      <c r="H115" s="8"/>
      <c r="I115" s="8"/>
      <c r="J115" s="8"/>
      <c r="K115" s="8"/>
      <c r="L115" s="8"/>
      <c r="M115" s="8"/>
      <c r="N115" s="8"/>
      <c r="O115" s="8"/>
      <c r="P115" s="8"/>
      <c r="Q115" s="8"/>
      <c r="R115" s="8"/>
    </row>
    <row r="116" spans="8:18" ht="12.75">
      <c r="H116" s="8"/>
      <c r="I116" s="8"/>
      <c r="J116" s="8"/>
      <c r="K116" s="8"/>
      <c r="L116" s="8"/>
      <c r="M116" s="8"/>
      <c r="N116" s="8"/>
      <c r="O116" s="8"/>
      <c r="P116" s="8"/>
      <c r="Q116" s="8"/>
      <c r="R116" s="8"/>
    </row>
    <row r="117" spans="8:18" ht="12.75">
      <c r="H117" s="8"/>
      <c r="I117" s="8"/>
      <c r="J117" s="8"/>
      <c r="K117" s="8"/>
      <c r="L117" s="8"/>
      <c r="M117" s="8"/>
      <c r="N117" s="8"/>
      <c r="O117" s="8"/>
      <c r="P117" s="8"/>
      <c r="Q117" s="8"/>
      <c r="R117" s="8"/>
    </row>
    <row r="118" spans="8:18" ht="12.75">
      <c r="H118" s="8"/>
      <c r="I118" s="8"/>
      <c r="J118" s="8"/>
      <c r="K118" s="8"/>
      <c r="L118" s="8"/>
      <c r="M118" s="8"/>
      <c r="N118" s="8"/>
      <c r="O118" s="8"/>
      <c r="P118" s="8"/>
      <c r="Q118" s="8"/>
      <c r="R118" s="8"/>
    </row>
    <row r="119" spans="8:18" ht="12.75">
      <c r="H119" s="8"/>
      <c r="I119" s="8"/>
      <c r="J119" s="8"/>
      <c r="K119" s="8"/>
      <c r="L119" s="8"/>
      <c r="M119" s="8"/>
      <c r="N119" s="8"/>
      <c r="O119" s="8"/>
      <c r="P119" s="8"/>
      <c r="Q119" s="8"/>
      <c r="R119" s="8"/>
    </row>
    <row r="120" spans="8:18" ht="12.75">
      <c r="H120" s="8"/>
      <c r="I120" s="8"/>
      <c r="J120" s="8"/>
      <c r="K120" s="8"/>
      <c r="L120" s="8"/>
      <c r="M120" s="8"/>
      <c r="N120" s="8"/>
      <c r="O120" s="8"/>
      <c r="P120" s="8"/>
      <c r="Q120" s="8"/>
      <c r="R120" s="8"/>
    </row>
    <row r="121" spans="8:18" ht="12.75">
      <c r="H121" s="8"/>
      <c r="I121" s="8"/>
      <c r="J121" s="8"/>
      <c r="K121" s="8"/>
      <c r="L121" s="8"/>
      <c r="M121" s="8"/>
      <c r="N121" s="8"/>
      <c r="O121" s="8"/>
      <c r="P121" s="8"/>
      <c r="Q121" s="8"/>
      <c r="R121" s="8"/>
    </row>
    <row r="122" spans="8:18" ht="12.75">
      <c r="H122" s="8"/>
      <c r="I122" s="8"/>
      <c r="J122" s="8"/>
      <c r="K122" s="8"/>
      <c r="L122" s="8"/>
      <c r="M122" s="8"/>
      <c r="N122" s="8"/>
      <c r="O122" s="8"/>
      <c r="P122" s="8"/>
      <c r="Q122" s="8"/>
      <c r="R122" s="8"/>
    </row>
    <row r="123" spans="8:18" ht="12.75">
      <c r="H123" s="8"/>
      <c r="I123" s="8"/>
      <c r="J123" s="8"/>
      <c r="K123" s="8"/>
      <c r="L123" s="8"/>
      <c r="M123" s="8"/>
      <c r="N123" s="8"/>
      <c r="O123" s="8"/>
      <c r="P123" s="8"/>
      <c r="Q123" s="8"/>
      <c r="R123" s="8"/>
    </row>
    <row r="124" spans="8:18" ht="12.75">
      <c r="H124" s="8"/>
      <c r="I124" s="8"/>
      <c r="J124" s="8"/>
      <c r="K124" s="8"/>
      <c r="L124" s="8"/>
      <c r="M124" s="8"/>
      <c r="N124" s="8"/>
      <c r="O124" s="8"/>
      <c r="P124" s="8"/>
      <c r="Q124" s="8"/>
      <c r="R124" s="8"/>
    </row>
    <row r="125" spans="8:18" ht="12.75">
      <c r="H125" s="8"/>
      <c r="I125" s="8"/>
      <c r="J125" s="8"/>
      <c r="K125" s="8"/>
      <c r="L125" s="8"/>
      <c r="M125" s="8"/>
      <c r="N125" s="8"/>
      <c r="O125" s="8"/>
      <c r="P125" s="8"/>
      <c r="Q125" s="8"/>
      <c r="R125" s="8"/>
    </row>
  </sheetData>
  <sheetProtection/>
  <mergeCells count="6">
    <mergeCell ref="B72:B73"/>
    <mergeCell ref="B4:B5"/>
    <mergeCell ref="B47:B48"/>
    <mergeCell ref="C72:J72"/>
    <mergeCell ref="C4:J4"/>
    <mergeCell ref="E47:J47"/>
  </mergeCells>
  <printOptions horizontalCentered="1"/>
  <pageMargins left="0.3937007874015748" right="0.4724409448818898" top="0.6299212598425197" bottom="0.6299212598425197" header="0.5118110236220472" footer="0.5118110236220472"/>
  <pageSetup fitToHeight="2" fitToWidth="2" horizontalDpi="600" verticalDpi="600" orientation="portrait" paperSize="9" scale="55" r:id="rId1"/>
  <rowBreaks count="1" manualBreakCount="1">
    <brk id="45" max="255" man="1"/>
  </rowBreaks>
</worksheet>
</file>

<file path=xl/worksheets/sheet10.xml><?xml version="1.0" encoding="utf-8"?>
<worksheet xmlns="http://schemas.openxmlformats.org/spreadsheetml/2006/main" xmlns:r="http://schemas.openxmlformats.org/officeDocument/2006/relationships">
  <dimension ref="A1:D36"/>
  <sheetViews>
    <sheetView zoomScalePageLayoutView="0" workbookViewId="0" topLeftCell="A19">
      <selection activeCell="O44" sqref="O44"/>
    </sheetView>
  </sheetViews>
  <sheetFormatPr defaultColWidth="9.140625" defaultRowHeight="12.75"/>
  <cols>
    <col min="1" max="1" width="3.00390625" style="12" customWidth="1"/>
    <col min="2" max="2" width="58.140625" style="12" customWidth="1"/>
    <col min="3" max="3" width="24.421875" style="12" bestFit="1" customWidth="1"/>
    <col min="4" max="16384" width="9.140625" style="12" customWidth="1"/>
  </cols>
  <sheetData>
    <row r="1" spans="1:4" ht="15.75">
      <c r="A1" s="838"/>
      <c r="B1" s="164"/>
      <c r="C1" s="164"/>
      <c r="D1" s="164"/>
    </row>
    <row r="2" spans="1:4" ht="13.5" thickBot="1">
      <c r="A2" s="164"/>
      <c r="B2" s="164"/>
      <c r="C2" s="164"/>
      <c r="D2" s="164"/>
    </row>
    <row r="3" spans="1:4" ht="15.75" thickBot="1">
      <c r="A3" s="164"/>
      <c r="B3" s="839" t="s">
        <v>674</v>
      </c>
      <c r="C3" s="840" t="s">
        <v>343</v>
      </c>
      <c r="D3" s="839" t="s">
        <v>344</v>
      </c>
    </row>
    <row r="4" spans="1:4" ht="14.25">
      <c r="A4" s="164"/>
      <c r="B4" s="835" t="s">
        <v>109</v>
      </c>
      <c r="C4" s="841">
        <f>'Thermoelectric plants'!K24</f>
        <v>4451.087009999999</v>
      </c>
      <c r="D4" s="842">
        <f>'Thermoelectric plants'!A24</f>
        <v>14</v>
      </c>
    </row>
    <row r="5" spans="1:4" ht="14.25">
      <c r="A5" s="164"/>
      <c r="B5" s="835" t="s">
        <v>110</v>
      </c>
      <c r="C5" s="841">
        <f>'Hydroelectric plants'!J99</f>
        <v>1012.2302717630224</v>
      </c>
      <c r="D5" s="843">
        <f>'Hydroelectric plants'!A99</f>
        <v>91</v>
      </c>
    </row>
    <row r="6" spans="1:4" ht="14.25">
      <c r="A6" s="164"/>
      <c r="B6" s="835" t="s">
        <v>345</v>
      </c>
      <c r="C6" s="841">
        <f>'Other renewable plants'!H50</f>
        <v>656.48</v>
      </c>
      <c r="D6" s="842">
        <f>'Other renewable plants'!A50</f>
        <v>39</v>
      </c>
    </row>
    <row r="7" spans="1:4" ht="14.25">
      <c r="A7" s="164"/>
      <c r="B7" s="835" t="s">
        <v>346</v>
      </c>
      <c r="C7" s="841">
        <f>SUM('Other renewable plants'!H55:H62)</f>
        <v>10.129000000000001</v>
      </c>
      <c r="D7" s="528">
        <f>SUM('Other renewable plants'!A55:A62)</f>
        <v>8</v>
      </c>
    </row>
    <row r="8" spans="1:4" ht="15" thickBot="1">
      <c r="A8" s="164"/>
      <c r="B8" s="835" t="s">
        <v>174</v>
      </c>
      <c r="C8" s="841">
        <f>'Other renewable plants'!H64</f>
        <v>5.206</v>
      </c>
      <c r="D8" s="528">
        <f>'Other renewable plants'!A64</f>
        <v>1</v>
      </c>
    </row>
    <row r="9" spans="1:4" ht="15.75" thickBot="1">
      <c r="A9" s="164"/>
      <c r="B9" s="844" t="s">
        <v>667</v>
      </c>
      <c r="C9" s="845">
        <f>SUM(C4:C8)</f>
        <v>6135.132281763022</v>
      </c>
      <c r="D9" s="845">
        <f>SUM(D4:D8)</f>
        <v>153</v>
      </c>
    </row>
    <row r="10" spans="1:4" s="3" customFormat="1" ht="15" thickBot="1">
      <c r="A10" s="164"/>
      <c r="B10" s="584"/>
      <c r="C10" s="584"/>
      <c r="D10" s="584"/>
    </row>
    <row r="11" spans="1:4" ht="15.75" thickBot="1">
      <c r="A11" s="164"/>
      <c r="B11" s="839" t="s">
        <v>673</v>
      </c>
      <c r="C11" s="840" t="s">
        <v>343</v>
      </c>
      <c r="D11" s="839" t="s">
        <v>344</v>
      </c>
    </row>
    <row r="12" spans="1:4" ht="14.25">
      <c r="A12" s="164"/>
      <c r="B12" s="835" t="s">
        <v>467</v>
      </c>
      <c r="C12" s="841">
        <f>'Thermoelectric plants'!K33</f>
        <v>415.89266</v>
      </c>
      <c r="D12" s="528">
        <f>'Thermoelectric plants'!A33</f>
        <v>3</v>
      </c>
    </row>
    <row r="13" spans="1:4" ht="15" thickBot="1">
      <c r="A13" s="164"/>
      <c r="B13" s="835" t="s">
        <v>666</v>
      </c>
      <c r="C13" s="841">
        <f>'Hydroelectric plants'!J101</f>
        <v>125.2</v>
      </c>
      <c r="D13" s="528">
        <f>'Hydroelectric plants'!A101</f>
        <v>3</v>
      </c>
    </row>
    <row r="14" spans="1:4" ht="15.75" thickBot="1">
      <c r="A14" s="164"/>
      <c r="B14" s="844" t="s">
        <v>668</v>
      </c>
      <c r="C14" s="845">
        <f>SUM(C12:C13)</f>
        <v>541.09266</v>
      </c>
      <c r="D14" s="845">
        <f>SUM(D12:D13)</f>
        <v>6</v>
      </c>
    </row>
    <row r="15" spans="1:4" ht="13.5" thickBot="1">
      <c r="A15" s="164"/>
      <c r="B15" s="164"/>
      <c r="C15" s="164"/>
      <c r="D15" s="164"/>
    </row>
    <row r="16" spans="1:4" ht="15.75" thickBot="1">
      <c r="A16" s="164"/>
      <c r="B16" s="839" t="s">
        <v>669</v>
      </c>
      <c r="C16" s="846" t="s">
        <v>343</v>
      </c>
      <c r="D16" s="839" t="s">
        <v>344</v>
      </c>
    </row>
    <row r="17" spans="1:4" ht="14.25">
      <c r="A17" s="164"/>
      <c r="B17" s="835" t="s">
        <v>109</v>
      </c>
      <c r="C17" s="811">
        <f>'Energy efficiency in Italy'!G83</f>
        <v>166.04</v>
      </c>
      <c r="D17" s="332">
        <f>'Energy efficiency in Italy'!H83</f>
        <v>17</v>
      </c>
    </row>
    <row r="18" spans="1:4" ht="14.25">
      <c r="A18" s="164"/>
      <c r="B18" s="835" t="s">
        <v>110</v>
      </c>
      <c r="C18" s="811">
        <f>'Energy efficiency in Italy'!G86</f>
        <v>1.5</v>
      </c>
      <c r="D18" s="811">
        <f>'Energy efficiency in Italy'!H86</f>
        <v>1</v>
      </c>
    </row>
    <row r="19" spans="1:4" ht="15" thickBot="1">
      <c r="A19" s="164"/>
      <c r="B19" s="835" t="s">
        <v>346</v>
      </c>
      <c r="C19" s="811">
        <f>'Energy efficiency in Italy'!G87</f>
        <v>3.28825</v>
      </c>
      <c r="D19" s="811">
        <f>'Energy efficiency in Italy'!H88</f>
        <v>3</v>
      </c>
    </row>
    <row r="20" spans="1:4" ht="15.75" thickBot="1">
      <c r="A20" s="164"/>
      <c r="B20" s="844" t="s">
        <v>667</v>
      </c>
      <c r="C20" s="936">
        <f>SUM(C17:C19)</f>
        <v>170.82825</v>
      </c>
      <c r="D20" s="845">
        <f>SUM(D17:D19)</f>
        <v>21</v>
      </c>
    </row>
    <row r="21" spans="1:4" ht="13.5" thickBot="1">
      <c r="A21" s="164"/>
      <c r="B21" s="164"/>
      <c r="C21" s="164"/>
      <c r="D21" s="164"/>
    </row>
    <row r="22" spans="2:4" ht="15.75" thickBot="1">
      <c r="B22" s="839" t="s">
        <v>670</v>
      </c>
      <c r="C22" s="846" t="s">
        <v>343</v>
      </c>
      <c r="D22" s="839" t="s">
        <v>344</v>
      </c>
    </row>
    <row r="23" spans="2:4" ht="14.25">
      <c r="B23" s="835" t="s">
        <v>671</v>
      </c>
      <c r="C23" s="811">
        <f>'Energy efficiency in Italy'!G84</f>
        <v>1.4</v>
      </c>
      <c r="D23" s="332">
        <f>'Energy efficiency in Italy'!H84</f>
        <v>1</v>
      </c>
    </row>
    <row r="24" spans="2:4" ht="14.25">
      <c r="B24" s="835" t="s">
        <v>672</v>
      </c>
      <c r="C24" s="811">
        <f>'Energy efficiency in Italy'!G89</f>
        <v>0.1</v>
      </c>
      <c r="D24" s="811">
        <f>'Energy efficiency in Italy'!H89</f>
        <v>1</v>
      </c>
    </row>
    <row r="25" spans="2:4" ht="15" thickBot="1">
      <c r="B25" s="835" t="s">
        <v>529</v>
      </c>
      <c r="C25" s="811">
        <f>'Energy efficiency in Italy'!G85</f>
        <v>12</v>
      </c>
      <c r="D25" s="811">
        <f>'Energy efficiency in Italy'!H85</f>
        <v>1</v>
      </c>
    </row>
    <row r="26" spans="1:4" ht="15.75" thickBot="1">
      <c r="A26" s="164"/>
      <c r="B26" s="844" t="s">
        <v>667</v>
      </c>
      <c r="C26" s="936">
        <f>SUM(C23:C25)</f>
        <v>13.5</v>
      </c>
      <c r="D26" s="845">
        <f>SUM(D23:D25)</f>
        <v>3</v>
      </c>
    </row>
    <row r="27" ht="12.75">
      <c r="C27" s="823"/>
    </row>
    <row r="28" spans="3:4" ht="12.75">
      <c r="C28" s="935"/>
      <c r="D28" s="8"/>
    </row>
    <row r="29" ht="12.75">
      <c r="C29" s="823"/>
    </row>
    <row r="30" ht="12.75">
      <c r="C30" s="847"/>
    </row>
    <row r="36" ht="12.75">
      <c r="C36" s="8"/>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R81"/>
  <sheetViews>
    <sheetView zoomScalePageLayoutView="0" workbookViewId="0" topLeftCell="A1">
      <selection activeCell="G72" sqref="G72"/>
    </sheetView>
  </sheetViews>
  <sheetFormatPr defaultColWidth="9.140625" defaultRowHeight="12.75" outlineLevelCol="1"/>
  <cols>
    <col min="1" max="1" width="6.421875" style="28" customWidth="1"/>
    <col min="2" max="2" width="49.421875" style="28" customWidth="1"/>
    <col min="3" max="3" width="14.8515625" style="28" customWidth="1"/>
    <col min="4" max="4" width="12.8515625" style="28" hidden="1" customWidth="1" outlineLevel="1"/>
    <col min="5" max="5" width="14.140625" style="28" customWidth="1" collapsed="1"/>
    <col min="6" max="6" width="12.8515625" style="28" customWidth="1"/>
    <col min="7" max="7" width="10.7109375" style="29" customWidth="1"/>
    <col min="8" max="8" width="11.28125" style="28" customWidth="1"/>
    <col min="9" max="9" width="16.8515625" style="28" customWidth="1"/>
    <col min="10" max="11" width="11.28125" style="28" customWidth="1"/>
    <col min="12" max="14" width="9.140625" style="28" customWidth="1"/>
    <col min="15" max="18" width="9.140625" style="118" customWidth="1"/>
    <col min="19" max="16384" width="9.140625" style="28" customWidth="1"/>
  </cols>
  <sheetData>
    <row r="2" ht="15.75">
      <c r="B2" s="121" t="s">
        <v>473</v>
      </c>
    </row>
    <row r="3" spans="1:2" ht="12.75">
      <c r="A3" s="26"/>
      <c r="B3" s="27"/>
    </row>
    <row r="4" spans="1:18" ht="12.75">
      <c r="A4" s="30"/>
      <c r="B4" s="864" t="s">
        <v>200</v>
      </c>
      <c r="C4" s="871"/>
      <c r="D4" s="872"/>
      <c r="E4" s="872"/>
      <c r="F4" s="872"/>
      <c r="G4" s="872"/>
      <c r="H4" s="872"/>
      <c r="I4" s="872"/>
      <c r="J4" s="873"/>
      <c r="O4" s="28"/>
      <c r="P4" s="28"/>
      <c r="Q4" s="28"/>
      <c r="R4" s="28"/>
    </row>
    <row r="5" spans="1:11" s="32" customFormat="1" ht="12.75">
      <c r="A5" s="30"/>
      <c r="B5" s="865"/>
      <c r="C5" s="393" t="s">
        <v>358</v>
      </c>
      <c r="D5" s="321">
        <v>2014</v>
      </c>
      <c r="E5" s="321" t="s">
        <v>359</v>
      </c>
      <c r="F5" s="321">
        <v>2015</v>
      </c>
      <c r="G5" s="321" t="s">
        <v>360</v>
      </c>
      <c r="H5" s="321">
        <v>2017</v>
      </c>
      <c r="I5" s="318" t="s">
        <v>578</v>
      </c>
      <c r="J5" s="320" t="s">
        <v>675</v>
      </c>
      <c r="K5" s="32">
        <v>4</v>
      </c>
    </row>
    <row r="6" spans="1:10" s="34" customFormat="1" ht="12.75">
      <c r="A6" s="33"/>
      <c r="B6" s="386"/>
      <c r="C6" s="84"/>
      <c r="D6" s="40"/>
      <c r="E6" s="40"/>
      <c r="F6" s="40"/>
      <c r="G6" s="67"/>
      <c r="H6" s="67"/>
      <c r="I6" s="67"/>
      <c r="J6" s="389"/>
    </row>
    <row r="7" spans="1:10" s="9" customFormat="1" ht="12.75">
      <c r="A7" s="20"/>
      <c r="B7" s="370" t="s">
        <v>93</v>
      </c>
      <c r="C7" s="374">
        <f>+'Quarterly Data'!J63</f>
        <v>7162</v>
      </c>
      <c r="D7" s="196">
        <f>+'Quarterly Data'!R63</f>
        <v>7859</v>
      </c>
      <c r="E7" s="196">
        <f>+'Quarterly Data'!Z63</f>
        <v>7859</v>
      </c>
      <c r="F7" s="196">
        <f>+'Quarterly Data'!AH63</f>
        <v>6529</v>
      </c>
      <c r="G7" s="196">
        <f>+'Quarterly Data'!AP63</f>
        <v>5682</v>
      </c>
      <c r="H7" s="196">
        <f>+'Quarterly Data'!AX63</f>
        <v>5127</v>
      </c>
      <c r="I7" s="196">
        <f>+'Quarterly Data'!BF63</f>
        <v>3970</v>
      </c>
      <c r="J7" s="199">
        <f>+'Quarterly Data'!BN63</f>
        <v>3768</v>
      </c>
    </row>
    <row r="8" spans="2:10" s="29" customFormat="1" ht="12.75">
      <c r="B8" s="84"/>
      <c r="C8" s="84"/>
      <c r="D8" s="40"/>
      <c r="E8" s="40"/>
      <c r="F8" s="40"/>
      <c r="G8" s="40"/>
      <c r="H8" s="196"/>
      <c r="I8" s="40"/>
      <c r="J8" s="199"/>
    </row>
    <row r="9" spans="2:10" s="29" customFormat="1" ht="12.75">
      <c r="B9" s="354" t="s">
        <v>357</v>
      </c>
      <c r="C9" s="381">
        <f>+'Quarterly Data'!J65</f>
        <v>666</v>
      </c>
      <c r="D9" s="195">
        <f>+'Quarterly Data'!R65</f>
        <v>690</v>
      </c>
      <c r="E9" s="253">
        <f>+'Quarterly Data'!Z65</f>
        <v>690</v>
      </c>
      <c r="F9" s="195">
        <f>+'Quarterly Data'!AH65</f>
        <v>276</v>
      </c>
      <c r="G9" s="195">
        <f>+'Quarterly Data'!AP65</f>
        <v>242</v>
      </c>
      <c r="H9" s="195">
        <f>+'Quarterly Data'!AX65</f>
        <v>265</v>
      </c>
      <c r="I9" s="195">
        <f>+'Quarterly Data'!BF65</f>
        <v>265</v>
      </c>
      <c r="J9" s="890"/>
    </row>
    <row r="10" spans="2:10" s="37" customFormat="1" ht="12.75">
      <c r="B10" s="354" t="s">
        <v>474</v>
      </c>
      <c r="C10" s="381">
        <f>+'Quarterly Data'!J66</f>
        <v>656</v>
      </c>
      <c r="D10" s="195">
        <f>+'Quarterly Data'!R66</f>
        <v>652</v>
      </c>
      <c r="E10" s="253">
        <f>+'Quarterly Data'!Z66</f>
        <v>652</v>
      </c>
      <c r="F10" s="195">
        <f>+'Quarterly Data'!AH66</f>
        <v>360</v>
      </c>
      <c r="G10" s="195">
        <f>+'Quarterly Data'!AP66</f>
        <v>386</v>
      </c>
      <c r="H10" s="195">
        <f>+'Quarterly Data'!AX66</f>
        <v>289</v>
      </c>
      <c r="I10" s="195">
        <f>+'Quarterly Data'!BF66</f>
        <v>289</v>
      </c>
      <c r="J10" s="203">
        <f>+'Quarterly Data'!BN66</f>
        <v>328</v>
      </c>
    </row>
    <row r="11" spans="2:10" s="29" customFormat="1" ht="12.75">
      <c r="B11" s="84"/>
      <c r="C11" s="84"/>
      <c r="D11" s="40"/>
      <c r="E11" s="40"/>
      <c r="F11" s="40"/>
      <c r="G11" s="40"/>
      <c r="H11" s="196"/>
      <c r="I11" s="40"/>
      <c r="J11" s="199"/>
    </row>
    <row r="12" spans="2:10" s="9" customFormat="1" ht="12.75">
      <c r="B12" s="103" t="s">
        <v>275</v>
      </c>
      <c r="C12" s="371">
        <f>+'Quarterly Data'!J68</f>
        <v>22</v>
      </c>
      <c r="D12" s="25">
        <f>+'Quarterly Data'!R68</f>
        <v>6</v>
      </c>
      <c r="E12" s="25">
        <f>+'Quarterly Data'!Z68</f>
        <v>6</v>
      </c>
      <c r="F12" s="25">
        <f>+'Quarterly Data'!AH68</f>
        <v>-16</v>
      </c>
      <c r="G12" s="25">
        <f>+'Quarterly Data'!AP68</f>
        <v>11</v>
      </c>
      <c r="H12" s="196">
        <f>+'Quarterly Data'!AX68</f>
        <v>4</v>
      </c>
      <c r="I12" s="196">
        <f>+'Quarterly Data'!BF68</f>
        <v>4</v>
      </c>
      <c r="J12" s="199">
        <f>+'Quarterly Data'!BN68</f>
        <v>1</v>
      </c>
    </row>
    <row r="13" spans="2:10" s="35" customFormat="1" ht="12.75">
      <c r="B13" s="88" t="s">
        <v>364</v>
      </c>
      <c r="C13" s="371">
        <f>+'Quarterly Data'!J69</f>
        <v>-245</v>
      </c>
      <c r="D13" s="25">
        <f>+'Quarterly Data'!R69</f>
        <v>-231</v>
      </c>
      <c r="E13" s="25">
        <f>+'Quarterly Data'!Z69</f>
        <v>-231</v>
      </c>
      <c r="F13" s="25">
        <f>+'Quarterly Data'!AH69</f>
        <v>-252</v>
      </c>
      <c r="G13" s="25">
        <f>+'Quarterly Data'!AP69</f>
        <v>-211</v>
      </c>
      <c r="H13" s="196">
        <f>+'Quarterly Data'!AX69</f>
        <v>-226</v>
      </c>
      <c r="I13" s="196">
        <f>+'Quarterly Data'!BF69</f>
        <v>-226</v>
      </c>
      <c r="J13" s="199">
        <f>+'Quarterly Data'!BN69</f>
        <v>-232</v>
      </c>
    </row>
    <row r="14" spans="2:10" s="35" customFormat="1" ht="12.75">
      <c r="B14" s="103" t="s">
        <v>365</v>
      </c>
      <c r="C14" s="371">
        <f>+'Quarterly Data'!J70</f>
        <v>-46</v>
      </c>
      <c r="D14" s="25">
        <f>+'Quarterly Data'!R70</f>
        <v>-167</v>
      </c>
      <c r="E14" s="25">
        <f>+'Quarterly Data'!Z70</f>
        <v>-167</v>
      </c>
      <c r="F14" s="25">
        <f>+'Quarterly Data'!AH70</f>
        <v>-1069</v>
      </c>
      <c r="G14" s="25">
        <f>+'Quarterly Data'!AP70</f>
        <v>-2</v>
      </c>
      <c r="H14" s="196">
        <f>+'Quarterly Data'!AX70</f>
        <v>-49</v>
      </c>
      <c r="I14" s="196">
        <f>+'Quarterly Data'!BF70</f>
        <v>-49</v>
      </c>
      <c r="J14" s="199">
        <f>+'Quarterly Data'!BN70</f>
        <v>-1</v>
      </c>
    </row>
    <row r="15" spans="2:10" s="35" customFormat="1" ht="12.75">
      <c r="B15" s="88" t="s">
        <v>276</v>
      </c>
      <c r="C15" s="84">
        <v>0</v>
      </c>
      <c r="D15" s="40"/>
      <c r="E15" s="40">
        <v>0</v>
      </c>
      <c r="F15" s="40">
        <v>0</v>
      </c>
      <c r="G15" s="40">
        <v>0</v>
      </c>
      <c r="H15" s="196">
        <f>+'Quarterly Data'!AX71</f>
        <v>15</v>
      </c>
      <c r="I15" s="196">
        <f>+'Quarterly Data'!BF71</f>
        <v>15</v>
      </c>
      <c r="J15" s="199">
        <f>+'Quarterly Data'!BN71</f>
        <v>0</v>
      </c>
    </row>
    <row r="16" spans="2:10" s="35" customFormat="1" ht="12.75">
      <c r="B16" s="103"/>
      <c r="C16" s="84"/>
      <c r="D16" s="40"/>
      <c r="E16" s="40"/>
      <c r="F16" s="40"/>
      <c r="G16" s="40"/>
      <c r="H16" s="196"/>
      <c r="I16" s="459"/>
      <c r="J16" s="199"/>
    </row>
    <row r="17" spans="1:10" s="29" customFormat="1" ht="12.75">
      <c r="A17" s="35"/>
      <c r="B17" s="354" t="s">
        <v>351</v>
      </c>
      <c r="C17" s="381">
        <f>+'Quarterly Data'!J73</f>
        <v>387</v>
      </c>
      <c r="D17" s="195">
        <f>+'Quarterly Data'!R73</f>
        <v>260</v>
      </c>
      <c r="E17" s="195">
        <f>+'Quarterly Data'!Z73</f>
        <v>260</v>
      </c>
      <c r="F17" s="195">
        <f>+'Quarterly Data'!AH73</f>
        <v>-977</v>
      </c>
      <c r="G17" s="195">
        <f>+'Quarterly Data'!AP73</f>
        <v>184</v>
      </c>
      <c r="H17" s="195">
        <f>+'Quarterly Data'!AX73</f>
        <v>33</v>
      </c>
      <c r="I17" s="195">
        <f>+'Quarterly Data'!BF73</f>
        <v>33</v>
      </c>
      <c r="J17" s="203">
        <f>+'Quarterly Data'!BN73</f>
        <v>96</v>
      </c>
    </row>
    <row r="18" spans="2:10" s="29" customFormat="1" ht="12.75">
      <c r="B18" s="84"/>
      <c r="C18" s="84"/>
      <c r="D18" s="40"/>
      <c r="E18" s="40"/>
      <c r="F18" s="40"/>
      <c r="G18" s="40"/>
      <c r="H18" s="196"/>
      <c r="I18" s="40"/>
      <c r="J18" s="199"/>
    </row>
    <row r="19" spans="2:10" s="29" customFormat="1" ht="12.75">
      <c r="B19" s="84"/>
      <c r="C19" s="84"/>
      <c r="D19" s="40"/>
      <c r="E19" s="40"/>
      <c r="F19" s="40"/>
      <c r="G19" s="40"/>
      <c r="H19" s="196"/>
      <c r="I19" s="40"/>
      <c r="J19" s="199"/>
    </row>
    <row r="20" spans="1:10" s="35" customFormat="1" ht="12.75">
      <c r="A20" s="29"/>
      <c r="B20" s="82" t="s">
        <v>90</v>
      </c>
      <c r="C20" s="390">
        <v>8191</v>
      </c>
      <c r="D20" s="166">
        <v>8067</v>
      </c>
      <c r="E20" s="166">
        <v>8067</v>
      </c>
      <c r="F20" s="166">
        <v>5884</v>
      </c>
      <c r="G20" s="166">
        <v>6243</v>
      </c>
      <c r="H20" s="166">
        <v>5224</v>
      </c>
      <c r="I20" s="166">
        <v>5224</v>
      </c>
      <c r="J20" s="165">
        <v>5274</v>
      </c>
    </row>
    <row r="21" spans="1:10" s="35" customFormat="1" ht="12.75">
      <c r="A21" s="29"/>
      <c r="B21" s="354" t="s">
        <v>677</v>
      </c>
      <c r="C21" s="390">
        <v>3015</v>
      </c>
      <c r="D21" s="166"/>
      <c r="E21" s="166">
        <v>2889</v>
      </c>
      <c r="F21" s="166">
        <v>1593</v>
      </c>
      <c r="G21" s="166">
        <v>1851</v>
      </c>
      <c r="H21" s="166">
        <v>1448</v>
      </c>
      <c r="I21" s="166">
        <v>1448</v>
      </c>
      <c r="J21" s="165">
        <v>1612</v>
      </c>
    </row>
    <row r="22" spans="2:10" s="37" customFormat="1" ht="12.75">
      <c r="B22" s="82"/>
      <c r="C22" s="82"/>
      <c r="D22" s="39"/>
      <c r="E22" s="39"/>
      <c r="F22" s="39"/>
      <c r="G22" s="39"/>
      <c r="H22" s="39"/>
      <c r="I22" s="39"/>
      <c r="J22" s="83"/>
    </row>
    <row r="23" spans="2:10" s="36" customFormat="1" ht="12.75">
      <c r="B23" s="84" t="s">
        <v>91</v>
      </c>
      <c r="C23" s="391">
        <v>25</v>
      </c>
      <c r="D23" s="72">
        <v>43</v>
      </c>
      <c r="E23" s="72">
        <v>43</v>
      </c>
      <c r="F23" s="72">
        <v>42</v>
      </c>
      <c r="G23" s="72">
        <v>98</v>
      </c>
      <c r="H23" s="72">
        <v>133</v>
      </c>
      <c r="I23" s="72">
        <v>133</v>
      </c>
      <c r="J23" s="855"/>
    </row>
    <row r="24" spans="2:10" s="36" customFormat="1" ht="12.75">
      <c r="B24" s="387" t="s">
        <v>92</v>
      </c>
      <c r="C24" s="391">
        <v>6</v>
      </c>
      <c r="D24" s="72">
        <v>3</v>
      </c>
      <c r="E24" s="72">
        <v>3</v>
      </c>
      <c r="F24" s="72">
        <v>1</v>
      </c>
      <c r="G24" s="72">
        <v>9</v>
      </c>
      <c r="H24" s="72">
        <v>7</v>
      </c>
      <c r="I24" s="71">
        <v>7</v>
      </c>
      <c r="J24" s="856"/>
    </row>
    <row r="25" spans="2:10" s="37" customFormat="1" ht="14.25">
      <c r="B25" s="354" t="s">
        <v>678</v>
      </c>
      <c r="C25" s="82">
        <f aca="true" t="shared" si="0" ref="C25:I25">+C23+C24</f>
        <v>31</v>
      </c>
      <c r="D25" s="39">
        <f t="shared" si="0"/>
        <v>46</v>
      </c>
      <c r="E25" s="39">
        <f t="shared" si="0"/>
        <v>46</v>
      </c>
      <c r="F25" s="39">
        <f t="shared" si="0"/>
        <v>43</v>
      </c>
      <c r="G25" s="39">
        <f t="shared" si="0"/>
        <v>107</v>
      </c>
      <c r="H25" s="39">
        <f t="shared" si="0"/>
        <v>140</v>
      </c>
      <c r="I25" s="39">
        <f t="shared" si="0"/>
        <v>140</v>
      </c>
      <c r="J25" s="165">
        <v>239</v>
      </c>
    </row>
    <row r="26" spans="2:10" s="37" customFormat="1" ht="12.75">
      <c r="B26" s="82"/>
      <c r="C26" s="82"/>
      <c r="D26" s="39"/>
      <c r="E26" s="39"/>
      <c r="F26" s="39"/>
      <c r="G26" s="39"/>
      <c r="H26" s="196"/>
      <c r="I26" s="39"/>
      <c r="J26" s="199"/>
    </row>
    <row r="27" spans="2:10" s="31" customFormat="1" ht="15" customHeight="1">
      <c r="B27" s="388" t="s">
        <v>73</v>
      </c>
      <c r="C27" s="392">
        <v>1138</v>
      </c>
      <c r="D27" s="205">
        <v>1051</v>
      </c>
      <c r="E27" s="205">
        <v>1051</v>
      </c>
      <c r="F27" s="205">
        <v>1030</v>
      </c>
      <c r="G27" s="205">
        <v>2949</v>
      </c>
      <c r="H27" s="205">
        <v>3156</v>
      </c>
      <c r="I27" s="205">
        <v>3156</v>
      </c>
      <c r="J27" s="492">
        <v>3303</v>
      </c>
    </row>
    <row r="28" spans="3:18" ht="12.75">
      <c r="C28" s="118"/>
      <c r="D28" s="118"/>
      <c r="E28" s="118"/>
      <c r="F28" s="118"/>
      <c r="G28" s="28"/>
      <c r="O28" s="28"/>
      <c r="P28" s="28"/>
      <c r="Q28" s="28"/>
      <c r="R28" s="28"/>
    </row>
    <row r="29" spans="2:18" ht="12.75">
      <c r="B29" s="41"/>
      <c r="C29" s="118"/>
      <c r="D29" s="118"/>
      <c r="E29" s="118"/>
      <c r="F29" s="118"/>
      <c r="G29" s="28"/>
      <c r="O29" s="28"/>
      <c r="P29" s="28"/>
      <c r="Q29" s="28"/>
      <c r="R29" s="28"/>
    </row>
    <row r="30" spans="2:18" ht="12.75">
      <c r="B30" s="864" t="s">
        <v>201</v>
      </c>
      <c r="C30" s="871"/>
      <c r="D30" s="872"/>
      <c r="E30" s="872"/>
      <c r="F30" s="872"/>
      <c r="G30" s="872"/>
      <c r="H30" s="872"/>
      <c r="I30" s="872"/>
      <c r="J30" s="873"/>
      <c r="O30" s="28"/>
      <c r="P30" s="28"/>
      <c r="Q30" s="28"/>
      <c r="R30" s="28"/>
    </row>
    <row r="31" spans="2:18" ht="12.75">
      <c r="B31" s="865"/>
      <c r="C31" s="393" t="str">
        <f aca="true" t="shared" si="1" ref="C31:H31">+C5</f>
        <v>2013 Restated</v>
      </c>
      <c r="D31" s="321">
        <f t="shared" si="1"/>
        <v>2014</v>
      </c>
      <c r="E31" s="321" t="str">
        <f t="shared" si="1"/>
        <v>2014 Restated</v>
      </c>
      <c r="F31" s="321">
        <f t="shared" si="1"/>
        <v>2015</v>
      </c>
      <c r="G31" s="321" t="str">
        <f t="shared" si="1"/>
        <v>2016 (1)</v>
      </c>
      <c r="H31" s="321">
        <f t="shared" si="1"/>
        <v>2017</v>
      </c>
      <c r="I31" s="318" t="s">
        <v>578</v>
      </c>
      <c r="J31" s="320" t="s">
        <v>675</v>
      </c>
      <c r="O31" s="28"/>
      <c r="P31" s="28"/>
      <c r="Q31" s="28"/>
      <c r="R31" s="28"/>
    </row>
    <row r="32" spans="2:18" ht="12.75">
      <c r="B32" s="394"/>
      <c r="C32" s="394"/>
      <c r="D32" s="81"/>
      <c r="E32" s="81"/>
      <c r="F32" s="81"/>
      <c r="G32" s="118"/>
      <c r="H32" s="118"/>
      <c r="I32" s="40"/>
      <c r="J32" s="491"/>
      <c r="O32" s="28"/>
      <c r="P32" s="28"/>
      <c r="Q32" s="28"/>
      <c r="R32" s="28"/>
    </row>
    <row r="33" spans="2:10" s="8" customFormat="1" ht="12.75">
      <c r="B33" s="370" t="s">
        <v>93</v>
      </c>
      <c r="C33" s="374">
        <f>+'Quarterly Data'!J82</f>
        <v>5998</v>
      </c>
      <c r="D33" s="196">
        <f>+'Quarterly Data'!R82</f>
        <v>5168</v>
      </c>
      <c r="E33" s="196">
        <f>+'Quarterly Data'!Z82</f>
        <v>5168</v>
      </c>
      <c r="F33" s="196">
        <f>+'Quarterly Data'!AH82</f>
        <v>5512</v>
      </c>
      <c r="G33" s="196">
        <f>+'Quarterly Data'!AP82</f>
        <v>6031</v>
      </c>
      <c r="H33" s="196">
        <f>+'Quarterly Data'!AX82</f>
        <v>5592</v>
      </c>
      <c r="I33" s="196">
        <f>+'Quarterly Data'!BF82</f>
        <v>5592</v>
      </c>
      <c r="J33" s="199">
        <f>+'Quarterly Data'!BN82</f>
        <v>6098</v>
      </c>
    </row>
    <row r="34" spans="2:18" ht="12.75">
      <c r="B34" s="84"/>
      <c r="C34" s="84"/>
      <c r="D34" s="40"/>
      <c r="E34" s="40"/>
      <c r="F34" s="40"/>
      <c r="G34" s="40"/>
      <c r="H34" s="196"/>
      <c r="I34" s="40"/>
      <c r="J34" s="199"/>
      <c r="O34" s="28"/>
      <c r="P34" s="28"/>
      <c r="Q34" s="28"/>
      <c r="R34" s="28"/>
    </row>
    <row r="35" spans="2:18" ht="12.75">
      <c r="B35" s="354" t="s">
        <v>357</v>
      </c>
      <c r="C35" s="354">
        <f>+'Quarterly Data'!J84</f>
        <v>415</v>
      </c>
      <c r="D35" s="253">
        <f>+'Quarterly Data'!R84</f>
        <v>255</v>
      </c>
      <c r="E35" s="253">
        <f>+'Quarterly Data'!Z84</f>
        <v>255</v>
      </c>
      <c r="F35" s="253">
        <f>+'Quarterly Data'!AH84</f>
        <v>1079</v>
      </c>
      <c r="G35" s="253">
        <f>+'Quarterly Data'!AP84</f>
        <v>505</v>
      </c>
      <c r="H35" s="195">
        <f>+'Quarterly Data'!AX84</f>
        <v>637</v>
      </c>
      <c r="I35" s="195">
        <f>+'Quarterly Data'!BF84</f>
        <v>637</v>
      </c>
      <c r="J35" s="890"/>
      <c r="O35" s="28"/>
      <c r="P35" s="28"/>
      <c r="Q35" s="28"/>
      <c r="R35" s="28"/>
    </row>
    <row r="36" spans="2:18" ht="12.75">
      <c r="B36" s="372" t="s">
        <v>489</v>
      </c>
      <c r="C36" s="84"/>
      <c r="D36" s="40"/>
      <c r="E36" s="40"/>
      <c r="F36" s="40"/>
      <c r="G36" s="40"/>
      <c r="H36" s="196"/>
      <c r="I36" s="40"/>
      <c r="J36" s="199"/>
      <c r="O36" s="28"/>
      <c r="P36" s="28"/>
      <c r="Q36" s="28"/>
      <c r="R36" s="28"/>
    </row>
    <row r="37" spans="2:18" ht="12.75">
      <c r="B37" s="395" t="s">
        <v>475</v>
      </c>
      <c r="C37" s="84">
        <f>+'Quarterly Data'!J86</f>
        <v>444</v>
      </c>
      <c r="D37" s="40">
        <f>+'Quarterly Data'!R86</f>
        <v>427</v>
      </c>
      <c r="E37" s="40">
        <f>+'Quarterly Data'!Z86</f>
        <v>427</v>
      </c>
      <c r="F37" s="40">
        <f>+'Quarterly Data'!AH86</f>
        <v>243</v>
      </c>
      <c r="G37" s="40">
        <f>+'Quarterly Data'!AP86</f>
        <v>182</v>
      </c>
      <c r="H37" s="196">
        <f>+'Quarterly Data'!AX86</f>
        <v>263</v>
      </c>
      <c r="I37" s="196">
        <f>+'Quarterly Data'!BF86</f>
        <v>263</v>
      </c>
      <c r="J37" s="199">
        <f>+'Quarterly Data'!BN86</f>
        <v>367</v>
      </c>
      <c r="O37" s="28"/>
      <c r="P37" s="28"/>
      <c r="Q37" s="28"/>
      <c r="R37" s="28"/>
    </row>
    <row r="38" spans="2:18" ht="12.75">
      <c r="B38" s="395" t="s">
        <v>350</v>
      </c>
      <c r="C38" s="84">
        <f>+'Quarterly Data'!J87</f>
        <v>-29</v>
      </c>
      <c r="D38" s="40">
        <f>+'Quarterly Data'!R87</f>
        <v>-172</v>
      </c>
      <c r="E38" s="40">
        <f>+'Quarterly Data'!Z87</f>
        <v>-172</v>
      </c>
      <c r="F38" s="40">
        <f>+'Quarterly Data'!AH87</f>
        <v>836</v>
      </c>
      <c r="G38" s="40">
        <f>+'Quarterly Data'!AP87</f>
        <v>323</v>
      </c>
      <c r="H38" s="196">
        <f>+'Quarterly Data'!AX87</f>
        <v>374</v>
      </c>
      <c r="I38" s="196">
        <f>+'Quarterly Data'!BF87</f>
        <v>374</v>
      </c>
      <c r="J38" s="199">
        <f>+'Quarterly Data'!BN87</f>
        <v>203</v>
      </c>
      <c r="O38" s="28"/>
      <c r="P38" s="28"/>
      <c r="Q38" s="28"/>
      <c r="R38" s="28"/>
    </row>
    <row r="39" spans="2:18" ht="12.75">
      <c r="B39" s="354" t="s">
        <v>474</v>
      </c>
      <c r="C39" s="381">
        <f>+'Quarterly Data'!J88</f>
        <v>425</v>
      </c>
      <c r="D39" s="195">
        <f>+'Quarterly Data'!R88</f>
        <v>293</v>
      </c>
      <c r="E39" s="195">
        <f>+'Quarterly Data'!Z88</f>
        <v>293</v>
      </c>
      <c r="F39" s="195">
        <f>+'Quarterly Data'!AH88</f>
        <v>995</v>
      </c>
      <c r="G39" s="195">
        <f>+'Quarterly Data'!AP88</f>
        <v>361</v>
      </c>
      <c r="H39" s="195">
        <f>+'Quarterly Data'!AX88</f>
        <v>613</v>
      </c>
      <c r="I39" s="195">
        <f>+'Quarterly Data'!BF88</f>
        <v>613</v>
      </c>
      <c r="J39" s="203">
        <f>+'Quarterly Data'!BN88</f>
        <v>570</v>
      </c>
      <c r="O39" s="28"/>
      <c r="P39" s="28"/>
      <c r="Q39" s="28"/>
      <c r="R39" s="28"/>
    </row>
    <row r="40" spans="2:18" ht="12.75">
      <c r="B40" s="84"/>
      <c r="C40" s="84"/>
      <c r="D40" s="40"/>
      <c r="E40" s="40"/>
      <c r="F40" s="40"/>
      <c r="G40" s="40"/>
      <c r="H40" s="195"/>
      <c r="I40" s="40"/>
      <c r="J40" s="203"/>
      <c r="K40" s="29"/>
      <c r="O40" s="28"/>
      <c r="P40" s="28"/>
      <c r="Q40" s="28"/>
      <c r="R40" s="28"/>
    </row>
    <row r="41" spans="2:18" ht="12.75">
      <c r="B41" s="84"/>
      <c r="C41" s="84"/>
      <c r="D41" s="40"/>
      <c r="E41" s="40"/>
      <c r="F41" s="40"/>
      <c r="G41" s="40"/>
      <c r="H41" s="118"/>
      <c r="I41" s="40"/>
      <c r="J41" s="85"/>
      <c r="O41" s="28"/>
      <c r="P41" s="28"/>
      <c r="Q41" s="28"/>
      <c r="R41" s="28"/>
    </row>
    <row r="42" spans="2:18" ht="12.75">
      <c r="B42" s="103" t="s">
        <v>275</v>
      </c>
      <c r="C42" s="374">
        <f>+'Quarterly Data'!J90</f>
        <v>-31</v>
      </c>
      <c r="D42" s="196">
        <f>+'Quarterly Data'!R90</f>
        <v>244</v>
      </c>
      <c r="E42" s="40">
        <f>+'Quarterly Data'!Z90</f>
        <v>244</v>
      </c>
      <c r="F42" s="196">
        <f>+'Quarterly Data'!AH90</f>
        <v>177</v>
      </c>
      <c r="G42" s="196">
        <f>+'Quarterly Data'!AP90</f>
        <v>-177</v>
      </c>
      <c r="H42" s="196">
        <f>+'Quarterly Data'!AX90</f>
        <v>-225</v>
      </c>
      <c r="I42" s="196">
        <f>'Quarterly Data'!BF90</f>
        <v>-225</v>
      </c>
      <c r="J42" s="199">
        <f>'Quarterly Data'!BN90</f>
        <v>-5</v>
      </c>
      <c r="O42" s="28"/>
      <c r="P42" s="28"/>
      <c r="Q42" s="28"/>
      <c r="R42" s="28"/>
    </row>
    <row r="43" spans="2:10" s="8" customFormat="1" ht="12.75">
      <c r="B43" s="88" t="s">
        <v>364</v>
      </c>
      <c r="C43" s="374">
        <f>+'Quarterly Data'!J91</f>
        <v>-282</v>
      </c>
      <c r="D43" s="196">
        <f>+'Quarterly Data'!R91</f>
        <v>-281</v>
      </c>
      <c r="E43" s="40">
        <f>+'Quarterly Data'!Z91</f>
        <v>-281</v>
      </c>
      <c r="F43" s="196">
        <f>+'Quarterly Data'!AH91</f>
        <v>-401</v>
      </c>
      <c r="G43" s="196">
        <f>+'Quarterly Data'!AP91</f>
        <v>-259</v>
      </c>
      <c r="H43" s="196">
        <f>+'Quarterly Data'!AX91</f>
        <v>-252</v>
      </c>
      <c r="I43" s="196">
        <f>'Quarterly Data'!BF91</f>
        <v>-252</v>
      </c>
      <c r="J43" s="199">
        <f>'Quarterly Data'!BN91</f>
        <v>-227</v>
      </c>
    </row>
    <row r="44" spans="2:10" s="8" customFormat="1" ht="12.75">
      <c r="B44" s="103" t="s">
        <v>365</v>
      </c>
      <c r="C44" s="374">
        <f>+'Quarterly Data'!J92</f>
        <v>-54</v>
      </c>
      <c r="D44" s="196">
        <f>+'Quarterly Data'!R92</f>
        <v>-72</v>
      </c>
      <c r="E44" s="40">
        <f>+'Quarterly Data'!Z92</f>
        <v>-72</v>
      </c>
      <c r="F44" s="196">
        <f>+'Quarterly Data'!AH92</f>
        <v>-465</v>
      </c>
      <c r="G44" s="196">
        <f>+'Quarterly Data'!AP92</f>
        <v>-254</v>
      </c>
      <c r="H44" s="196">
        <f>+'Quarterly Data'!AX92</f>
        <v>-120</v>
      </c>
      <c r="I44" s="196">
        <f>+'Quarterly Data'!BF92</f>
        <v>-120</v>
      </c>
      <c r="J44" s="199">
        <f>+'Quarterly Data'!BN92</f>
        <v>-99</v>
      </c>
    </row>
    <row r="45" spans="2:18" ht="12.75">
      <c r="B45" s="396"/>
      <c r="C45" s="84"/>
      <c r="D45" s="40"/>
      <c r="E45" s="40"/>
      <c r="F45" s="40"/>
      <c r="G45" s="40"/>
      <c r="H45" s="118"/>
      <c r="I45" s="40"/>
      <c r="J45" s="85"/>
      <c r="O45" s="28"/>
      <c r="P45" s="28"/>
      <c r="Q45" s="28"/>
      <c r="R45" s="28"/>
    </row>
    <row r="46" spans="2:18" ht="12.75">
      <c r="B46" s="354" t="s">
        <v>351</v>
      </c>
      <c r="C46" s="381">
        <f>+'Quarterly Data'!J94</f>
        <v>58</v>
      </c>
      <c r="D46" s="195">
        <f>+'Quarterly Data'!R94</f>
        <v>184</v>
      </c>
      <c r="E46" s="195">
        <f>+'Quarterly Data'!Z94</f>
        <v>184</v>
      </c>
      <c r="F46" s="195">
        <f>+'Quarterly Data'!AH94</f>
        <v>306</v>
      </c>
      <c r="G46" s="195">
        <f>+'Quarterly Data'!AP94</f>
        <v>-329</v>
      </c>
      <c r="H46" s="195">
        <f>+'Quarterly Data'!AX94</f>
        <v>16</v>
      </c>
      <c r="I46" s="195">
        <f>'Quarterly Data'!BF94</f>
        <v>16</v>
      </c>
      <c r="J46" s="203">
        <f>'Quarterly Data'!BN94</f>
        <v>239</v>
      </c>
      <c r="O46" s="28"/>
      <c r="P46" s="28"/>
      <c r="Q46" s="28"/>
      <c r="R46" s="28"/>
    </row>
    <row r="47" spans="2:18" ht="12.75">
      <c r="B47" s="84"/>
      <c r="C47" s="84"/>
      <c r="D47" s="40"/>
      <c r="E47" s="40"/>
      <c r="F47" s="40"/>
      <c r="G47" s="40"/>
      <c r="H47" s="118"/>
      <c r="I47" s="40" t="s">
        <v>581</v>
      </c>
      <c r="J47" s="85"/>
      <c r="O47" s="28"/>
      <c r="P47" s="28"/>
      <c r="Q47" s="28"/>
      <c r="R47" s="28"/>
    </row>
    <row r="48" spans="2:18" ht="12.75">
      <c r="B48" s="84"/>
      <c r="C48" s="84"/>
      <c r="D48" s="40"/>
      <c r="E48" s="40"/>
      <c r="F48" s="40"/>
      <c r="G48" s="40"/>
      <c r="H48" s="118"/>
      <c r="I48" s="40"/>
      <c r="J48" s="85"/>
      <c r="O48" s="28"/>
      <c r="P48" s="28"/>
      <c r="Q48" s="28"/>
      <c r="R48" s="28"/>
    </row>
    <row r="49" spans="2:18" ht="12.75">
      <c r="B49" s="82" t="s">
        <v>90</v>
      </c>
      <c r="C49" s="390">
        <v>5782</v>
      </c>
      <c r="D49" s="166">
        <v>6347</v>
      </c>
      <c r="E49" s="166">
        <v>6347</v>
      </c>
      <c r="F49" s="166">
        <v>6861</v>
      </c>
      <c r="G49" s="166">
        <v>5242</v>
      </c>
      <c r="H49" s="166">
        <v>4630</v>
      </c>
      <c r="I49" s="166">
        <v>4630</v>
      </c>
      <c r="J49" s="165">
        <v>5131</v>
      </c>
      <c r="O49" s="28"/>
      <c r="P49" s="28"/>
      <c r="Q49" s="28"/>
      <c r="R49" s="28"/>
    </row>
    <row r="50" spans="2:18" ht="12.75">
      <c r="B50" s="354" t="s">
        <v>677</v>
      </c>
      <c r="C50" s="390">
        <v>3506</v>
      </c>
      <c r="D50" s="166"/>
      <c r="E50" s="166">
        <v>4497</v>
      </c>
      <c r="F50" s="166">
        <v>5056</v>
      </c>
      <c r="G50" s="166">
        <v>3879</v>
      </c>
      <c r="H50" s="166">
        <v>3723</v>
      </c>
      <c r="I50" s="166">
        <v>3723</v>
      </c>
      <c r="J50" s="165">
        <v>3111</v>
      </c>
      <c r="O50" s="28"/>
      <c r="P50" s="28"/>
      <c r="Q50" s="28"/>
      <c r="R50" s="28"/>
    </row>
    <row r="51" spans="2:18" ht="12.75">
      <c r="B51" s="82"/>
      <c r="C51" s="82"/>
      <c r="D51" s="39"/>
      <c r="E51" s="39"/>
      <c r="F51" s="39"/>
      <c r="G51" s="39"/>
      <c r="H51" s="118"/>
      <c r="I51" s="40"/>
      <c r="J51" s="85"/>
      <c r="O51" s="28"/>
      <c r="P51" s="28"/>
      <c r="Q51" s="28"/>
      <c r="R51" s="28"/>
    </row>
    <row r="52" spans="2:18" ht="12.75">
      <c r="B52" s="84" t="s">
        <v>91</v>
      </c>
      <c r="C52" s="391">
        <v>124</v>
      </c>
      <c r="D52" s="72">
        <v>254</v>
      </c>
      <c r="E52" s="72">
        <v>254</v>
      </c>
      <c r="F52" s="72">
        <v>287</v>
      </c>
      <c r="G52" s="72">
        <v>204</v>
      </c>
      <c r="H52" s="72">
        <v>210</v>
      </c>
      <c r="I52" s="72">
        <v>210</v>
      </c>
      <c r="J52" s="855"/>
      <c r="O52" s="28"/>
      <c r="P52" s="28"/>
      <c r="Q52" s="28"/>
      <c r="R52" s="28"/>
    </row>
    <row r="53" spans="2:18" ht="12.75">
      <c r="B53" s="371" t="s">
        <v>476</v>
      </c>
      <c r="C53" s="391">
        <v>92</v>
      </c>
      <c r="D53" s="72">
        <v>67</v>
      </c>
      <c r="E53" s="72">
        <v>67</v>
      </c>
      <c r="F53" s="72">
        <v>139</v>
      </c>
      <c r="G53" s="72">
        <v>68</v>
      </c>
      <c r="H53" s="72">
        <v>80</v>
      </c>
      <c r="I53" s="72">
        <v>80</v>
      </c>
      <c r="J53" s="855"/>
      <c r="O53" s="28"/>
      <c r="P53" s="28"/>
      <c r="Q53" s="28"/>
      <c r="R53" s="28"/>
    </row>
    <row r="54" spans="2:18" ht="12.75">
      <c r="B54" s="387" t="s">
        <v>92</v>
      </c>
      <c r="C54" s="391">
        <v>11</v>
      </c>
      <c r="D54" s="72">
        <v>16</v>
      </c>
      <c r="E54" s="72">
        <v>16</v>
      </c>
      <c r="F54" s="72">
        <v>53</v>
      </c>
      <c r="G54" s="72">
        <v>20</v>
      </c>
      <c r="H54" s="72">
        <v>20</v>
      </c>
      <c r="I54" s="71">
        <v>20</v>
      </c>
      <c r="J54" s="856"/>
      <c r="O54" s="28"/>
      <c r="P54" s="28"/>
      <c r="Q54" s="28"/>
      <c r="R54" s="28"/>
    </row>
    <row r="55" spans="2:18" ht="14.25">
      <c r="B55" s="354" t="s">
        <v>678</v>
      </c>
      <c r="C55" s="82">
        <f aca="true" t="shared" si="2" ref="C55:I55">+C52+C53+C54</f>
        <v>227</v>
      </c>
      <c r="D55" s="39">
        <f t="shared" si="2"/>
        <v>337</v>
      </c>
      <c r="E55" s="39">
        <f t="shared" si="2"/>
        <v>337</v>
      </c>
      <c r="F55" s="39">
        <f t="shared" si="2"/>
        <v>479</v>
      </c>
      <c r="G55" s="39">
        <f t="shared" si="2"/>
        <v>292</v>
      </c>
      <c r="H55" s="39">
        <f t="shared" si="2"/>
        <v>310</v>
      </c>
      <c r="I55" s="39">
        <f t="shared" si="2"/>
        <v>310</v>
      </c>
      <c r="J55" s="165">
        <v>201</v>
      </c>
      <c r="O55" s="28"/>
      <c r="P55" s="28"/>
      <c r="Q55" s="28"/>
      <c r="R55" s="28"/>
    </row>
    <row r="56" spans="2:10" s="17" customFormat="1" ht="12.75">
      <c r="B56" s="372" t="s">
        <v>680</v>
      </c>
      <c r="C56" s="858"/>
      <c r="D56" s="859"/>
      <c r="E56" s="859"/>
      <c r="F56" s="859"/>
      <c r="G56" s="859"/>
      <c r="H56" s="859"/>
      <c r="I56" s="859"/>
      <c r="J56" s="857">
        <v>29</v>
      </c>
    </row>
    <row r="57" spans="2:18" ht="12.75">
      <c r="B57" s="82"/>
      <c r="C57" s="82"/>
      <c r="D57" s="39"/>
      <c r="E57" s="39"/>
      <c r="F57" s="39"/>
      <c r="G57" s="39"/>
      <c r="H57" s="118"/>
      <c r="I57" s="40"/>
      <c r="J57" s="85"/>
      <c r="O57" s="28"/>
      <c r="P57" s="28"/>
      <c r="Q57" s="28"/>
      <c r="R57" s="28"/>
    </row>
    <row r="58" spans="2:18" ht="12.75">
      <c r="B58" s="388" t="s">
        <v>73</v>
      </c>
      <c r="C58" s="392">
        <v>1415</v>
      </c>
      <c r="D58" s="205">
        <v>1419</v>
      </c>
      <c r="E58" s="205">
        <v>1419</v>
      </c>
      <c r="F58" s="205">
        <v>1414</v>
      </c>
      <c r="G58" s="205">
        <v>1379</v>
      </c>
      <c r="H58" s="205">
        <v>1359</v>
      </c>
      <c r="I58" s="205">
        <v>1359</v>
      </c>
      <c r="J58" s="492">
        <v>1437</v>
      </c>
      <c r="O58" s="28"/>
      <c r="P58" s="28"/>
      <c r="Q58" s="28"/>
      <c r="R58" s="28"/>
    </row>
    <row r="60" spans="2:10" ht="12.75">
      <c r="B60" s="276" t="s">
        <v>356</v>
      </c>
      <c r="C60" s="276"/>
      <c r="D60" s="276"/>
      <c r="E60" s="276"/>
      <c r="F60" s="276"/>
      <c r="G60" s="276"/>
      <c r="H60" s="276"/>
      <c r="I60" s="276"/>
      <c r="J60" s="276"/>
    </row>
    <row r="61" spans="2:10" ht="12.75">
      <c r="B61" s="275" t="s">
        <v>701</v>
      </c>
      <c r="C61" s="275"/>
      <c r="D61" s="275"/>
      <c r="E61" s="275"/>
      <c r="F61" s="275"/>
      <c r="G61" s="275"/>
      <c r="H61" s="275"/>
      <c r="I61" s="275"/>
      <c r="J61" s="275"/>
    </row>
    <row r="62" ht="12.75">
      <c r="B62" s="357" t="s">
        <v>582</v>
      </c>
    </row>
    <row r="63" ht="12.75">
      <c r="B63" s="490" t="s">
        <v>679</v>
      </c>
    </row>
    <row r="81" ht="12.75">
      <c r="B81" s="37"/>
    </row>
  </sheetData>
  <sheetProtection/>
  <mergeCells count="4">
    <mergeCell ref="B4:B5"/>
    <mergeCell ref="B30:B31"/>
    <mergeCell ref="C4:J4"/>
    <mergeCell ref="C30:J30"/>
  </mergeCells>
  <printOptions horizontalCentered="1" verticalCentered="1"/>
  <pageMargins left="0.3937007874015748" right="0.4724409448818898" top="0.6299212598425197" bottom="4.7637795275590555" header="0.5118110236220472" footer="0.5118110236220472"/>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2:R71"/>
  <sheetViews>
    <sheetView zoomScalePageLayoutView="0" workbookViewId="0" topLeftCell="A1">
      <selection activeCell="L32" sqref="L32"/>
    </sheetView>
  </sheetViews>
  <sheetFormatPr defaultColWidth="9.140625" defaultRowHeight="12.75" outlineLevelRow="1" outlineLevelCol="1"/>
  <cols>
    <col min="1" max="1" width="6.421875" style="1" customWidth="1"/>
    <col min="2" max="2" width="49.421875" style="12" customWidth="1"/>
    <col min="3" max="3" width="14.8515625" style="12" customWidth="1"/>
    <col min="4" max="4" width="12.8515625" style="12" customWidth="1" outlineLevel="1"/>
    <col min="5" max="5" width="14.421875" style="12" customWidth="1"/>
    <col min="6" max="6" width="12.8515625" style="12" customWidth="1"/>
    <col min="7" max="7" width="11.140625" style="3" customWidth="1"/>
    <col min="8" max="8" width="11.28125" style="12" customWidth="1"/>
    <col min="9" max="9" width="17.140625" style="12" customWidth="1"/>
    <col min="10" max="10" width="11.28125" style="12" customWidth="1"/>
    <col min="11" max="11" width="11.421875" style="12" customWidth="1"/>
    <col min="12" max="14" width="11.28125" style="12" customWidth="1"/>
    <col min="15" max="18" width="11.28125" style="18" customWidth="1"/>
    <col min="19" max="16384" width="9.140625" style="12" customWidth="1"/>
  </cols>
  <sheetData>
    <row r="2" ht="15.75">
      <c r="B2" s="15" t="s">
        <v>202</v>
      </c>
    </row>
    <row r="3" spans="7:18" s="8" customFormat="1" ht="12.75">
      <c r="G3" s="9"/>
      <c r="O3" s="76"/>
      <c r="P3" s="76"/>
      <c r="Q3" s="76"/>
      <c r="R3" s="76"/>
    </row>
    <row r="4" spans="1:10" s="8" customFormat="1" ht="12.75">
      <c r="A4" s="5"/>
      <c r="B4" s="864" t="s">
        <v>203</v>
      </c>
      <c r="C4" s="871"/>
      <c r="D4" s="872"/>
      <c r="E4" s="872"/>
      <c r="F4" s="872"/>
      <c r="G4" s="872"/>
      <c r="H4" s="872"/>
      <c r="I4" s="872"/>
      <c r="J4" s="873"/>
    </row>
    <row r="5" spans="1:10" s="8" customFormat="1" ht="12.75">
      <c r="A5" s="5"/>
      <c r="B5" s="865"/>
      <c r="C5" s="393" t="s">
        <v>358</v>
      </c>
      <c r="D5" s="321">
        <v>2014</v>
      </c>
      <c r="E5" s="321" t="s">
        <v>359</v>
      </c>
      <c r="F5" s="321">
        <v>2015</v>
      </c>
      <c r="G5" s="321">
        <v>2016</v>
      </c>
      <c r="H5" s="321">
        <v>2017</v>
      </c>
      <c r="I5" s="318" t="s">
        <v>681</v>
      </c>
      <c r="J5" s="453" t="s">
        <v>683</v>
      </c>
    </row>
    <row r="6" spans="1:10" s="9" customFormat="1" ht="12.75">
      <c r="A6" s="7"/>
      <c r="B6" s="398"/>
      <c r="C6" s="409"/>
      <c r="D6" s="104"/>
      <c r="E6" s="104"/>
      <c r="F6" s="104"/>
      <c r="G6" s="104"/>
      <c r="H6" s="25"/>
      <c r="I6" s="25"/>
      <c r="J6" s="78"/>
    </row>
    <row r="7" spans="2:10" s="42" customFormat="1" ht="12.75">
      <c r="B7" s="399" t="s">
        <v>97</v>
      </c>
      <c r="C7" s="410"/>
      <c r="D7" s="38"/>
      <c r="E7" s="38"/>
      <c r="F7" s="38"/>
      <c r="G7" s="38"/>
      <c r="H7" s="38"/>
      <c r="I7" s="38"/>
      <c r="J7" s="109"/>
    </row>
    <row r="8" spans="1:10" s="43" customFormat="1" ht="12.75">
      <c r="A8" s="13"/>
      <c r="B8" s="400"/>
      <c r="C8" s="411"/>
      <c r="D8" s="105"/>
      <c r="E8" s="105"/>
      <c r="F8" s="105"/>
      <c r="G8" s="105"/>
      <c r="H8" s="408"/>
      <c r="I8" s="408"/>
      <c r="J8" s="347"/>
    </row>
    <row r="9" spans="2:18" ht="12.75">
      <c r="B9" s="401" t="s">
        <v>379</v>
      </c>
      <c r="C9" s="412">
        <f>+'Quarterly Data'!J104</f>
        <v>13503</v>
      </c>
      <c r="D9" s="206">
        <f>+'Quarterly Data'!R104</f>
        <v>11756</v>
      </c>
      <c r="E9" s="206">
        <f>+'Quarterly Data'!Z104</f>
        <v>11756</v>
      </c>
      <c r="F9" s="206">
        <f>+'Quarterly Data'!AH104</f>
        <v>14116</v>
      </c>
      <c r="G9" s="206">
        <f>+'Quarterly Data'!AP104</f>
        <v>16765</v>
      </c>
      <c r="H9" s="206">
        <v>16469</v>
      </c>
      <c r="I9" s="206">
        <f>+'Quarterly Data'!BF104</f>
        <v>16469</v>
      </c>
      <c r="J9" s="493">
        <f>+'Quarterly Data'!BN104</f>
        <v>14763</v>
      </c>
      <c r="O9" s="12"/>
      <c r="P9" s="12"/>
      <c r="Q9" s="12"/>
      <c r="R9" s="12"/>
    </row>
    <row r="10" spans="2:18" ht="12.75">
      <c r="B10" s="401" t="s">
        <v>380</v>
      </c>
      <c r="C10" s="412">
        <f>+'Quarterly Data'!J105</f>
        <v>4029</v>
      </c>
      <c r="D10" s="206">
        <f>+'Quarterly Data'!R105</f>
        <v>4954</v>
      </c>
      <c r="E10" s="206">
        <f>+'Quarterly Data'!Z105</f>
        <v>4954</v>
      </c>
      <c r="F10" s="206">
        <f>+'Quarterly Data'!AH105</f>
        <v>3378</v>
      </c>
      <c r="G10" s="206">
        <f>+'Quarterly Data'!AP105</f>
        <v>2490</v>
      </c>
      <c r="H10" s="206">
        <v>2209</v>
      </c>
      <c r="I10" s="206">
        <f>+'Quarterly Data'!BF105</f>
        <v>2209</v>
      </c>
      <c r="J10" s="493">
        <f>+'Quarterly Data'!BN105</f>
        <v>3080</v>
      </c>
      <c r="O10" s="12"/>
      <c r="P10" s="12"/>
      <c r="Q10" s="12"/>
      <c r="R10" s="12"/>
    </row>
    <row r="11" spans="2:18" ht="12.75">
      <c r="B11" s="401" t="s">
        <v>381</v>
      </c>
      <c r="C11" s="412">
        <f>+'Quarterly Data'!J106</f>
        <v>876</v>
      </c>
      <c r="D11" s="206">
        <f>+'Quarterly Data'!R106</f>
        <v>906</v>
      </c>
      <c r="E11" s="206">
        <f>+'Quarterly Data'!Z106</f>
        <v>906</v>
      </c>
      <c r="F11" s="206">
        <f>+'Quarterly Data'!AH106</f>
        <v>987</v>
      </c>
      <c r="G11" s="206">
        <f>+'Quarterly Data'!AP106</f>
        <v>1103</v>
      </c>
      <c r="H11" s="206">
        <v>1064</v>
      </c>
      <c r="I11" s="206">
        <f>+'Quarterly Data'!BF106</f>
        <v>1064</v>
      </c>
      <c r="J11" s="493">
        <f>+'Quarterly Data'!BN106</f>
        <v>955</v>
      </c>
      <c r="K11" s="16"/>
      <c r="L11" s="16"/>
      <c r="O11" s="12"/>
      <c r="P11" s="12"/>
      <c r="Q11" s="12"/>
      <c r="R11" s="12"/>
    </row>
    <row r="12" spans="1:12" s="16" customFormat="1" ht="12.75">
      <c r="A12" s="2"/>
      <c r="B12" s="402" t="s">
        <v>99</v>
      </c>
      <c r="C12" s="260">
        <f aca="true" t="shared" si="0" ref="C12:H12">+SUM(C9:C11)</f>
        <v>18408</v>
      </c>
      <c r="D12" s="251">
        <f t="shared" si="0"/>
        <v>17616</v>
      </c>
      <c r="E12" s="251">
        <f t="shared" si="0"/>
        <v>17616</v>
      </c>
      <c r="F12" s="251">
        <f t="shared" si="0"/>
        <v>18481</v>
      </c>
      <c r="G12" s="251">
        <f t="shared" si="0"/>
        <v>20358</v>
      </c>
      <c r="H12" s="251">
        <f t="shared" si="0"/>
        <v>19742</v>
      </c>
      <c r="I12" s="272">
        <f>+SUM(I9:I11)</f>
        <v>19742</v>
      </c>
      <c r="J12" s="247">
        <f>+SUM(J9:J11)</f>
        <v>18798</v>
      </c>
      <c r="K12" s="12"/>
      <c r="L12" s="12"/>
    </row>
    <row r="13" spans="2:18" ht="14.25">
      <c r="B13" s="88" t="s">
        <v>383</v>
      </c>
      <c r="C13" s="412">
        <f>+'Quarterly Data'!J107</f>
        <v>55407</v>
      </c>
      <c r="D13" s="206">
        <f>+'Quarterly Data'!R107</f>
        <v>78564</v>
      </c>
      <c r="E13" s="206">
        <f>+'Quarterly Data'!Z107</f>
        <v>77915</v>
      </c>
      <c r="F13" s="206">
        <f>+'Quarterly Data'!AH107</f>
        <v>70952</v>
      </c>
      <c r="G13" s="206">
        <f>+'Quarterly Data'!AP107</f>
        <v>70836</v>
      </c>
      <c r="H13" s="206">
        <v>54002</v>
      </c>
      <c r="I13" s="76">
        <f>+'Quarterly Data'!BF107</f>
        <v>33288</v>
      </c>
      <c r="J13" s="78">
        <f>+'Quarterly Data'!BN107</f>
        <v>24020</v>
      </c>
      <c r="O13" s="12"/>
      <c r="P13" s="12"/>
      <c r="Q13" s="12"/>
      <c r="R13" s="12"/>
    </row>
    <row r="14" spans="2:18" ht="12.75">
      <c r="B14" s="403" t="s">
        <v>531</v>
      </c>
      <c r="C14" s="413">
        <f aca="true" t="shared" si="1" ref="C14:I14">+SUM(C12:C13)</f>
        <v>73815</v>
      </c>
      <c r="D14" s="86">
        <f t="shared" si="1"/>
        <v>96180</v>
      </c>
      <c r="E14" s="86">
        <f t="shared" si="1"/>
        <v>95531</v>
      </c>
      <c r="F14" s="86">
        <f t="shared" si="1"/>
        <v>89433</v>
      </c>
      <c r="G14" s="86">
        <f t="shared" si="1"/>
        <v>91194</v>
      </c>
      <c r="H14" s="86">
        <f t="shared" si="1"/>
        <v>73744</v>
      </c>
      <c r="I14" s="86">
        <f t="shared" si="1"/>
        <v>53030</v>
      </c>
      <c r="J14" s="87">
        <f>+SUM(J12:J13)</f>
        <v>42818</v>
      </c>
      <c r="K14" s="21"/>
      <c r="L14" s="21"/>
      <c r="M14" s="14"/>
      <c r="N14" s="14"/>
      <c r="O14" s="14"/>
      <c r="P14" s="14"/>
      <c r="Q14" s="12"/>
      <c r="R14" s="12"/>
    </row>
    <row r="15" spans="1:16" s="3" customFormat="1" ht="12.75">
      <c r="A15" s="4"/>
      <c r="B15" s="88"/>
      <c r="C15" s="88"/>
      <c r="D15" s="164"/>
      <c r="E15" s="164"/>
      <c r="F15" s="164"/>
      <c r="G15" s="164"/>
      <c r="H15" s="164"/>
      <c r="I15" s="164"/>
      <c r="J15" s="102"/>
      <c r="K15" s="21"/>
      <c r="L15" s="21"/>
      <c r="M15" s="21"/>
      <c r="N15" s="21"/>
      <c r="O15" s="21"/>
      <c r="P15" s="21"/>
    </row>
    <row r="16" spans="2:16" s="3" customFormat="1" ht="12.75">
      <c r="B16" s="88"/>
      <c r="C16" s="88"/>
      <c r="D16" s="164"/>
      <c r="E16" s="164"/>
      <c r="F16" s="164"/>
      <c r="G16" s="164"/>
      <c r="H16" s="164"/>
      <c r="I16" s="164"/>
      <c r="J16" s="102"/>
      <c r="K16" s="21"/>
      <c r="L16" s="21"/>
      <c r="M16" s="21"/>
      <c r="N16" s="21"/>
      <c r="O16" s="21"/>
      <c r="P16" s="21"/>
    </row>
    <row r="17" spans="2:16" s="3" customFormat="1" ht="12.75">
      <c r="B17" s="404" t="s">
        <v>98</v>
      </c>
      <c r="C17" s="414"/>
      <c r="D17" s="113"/>
      <c r="E17" s="113"/>
      <c r="F17" s="113"/>
      <c r="G17" s="113"/>
      <c r="H17" s="106"/>
      <c r="I17" s="106"/>
      <c r="J17" s="349"/>
      <c r="K17" s="14"/>
      <c r="L17" s="14"/>
      <c r="M17" s="14"/>
      <c r="N17" s="14"/>
      <c r="O17" s="14"/>
      <c r="P17" s="14"/>
    </row>
    <row r="18" spans="2:10" s="14" customFormat="1" ht="12" customHeight="1">
      <c r="B18" s="405"/>
      <c r="C18" s="415"/>
      <c r="D18" s="114"/>
      <c r="E18" s="114"/>
      <c r="F18" s="114"/>
      <c r="G18" s="114"/>
      <c r="H18" s="107"/>
      <c r="I18" s="107"/>
      <c r="J18" s="350"/>
    </row>
    <row r="19" spans="2:10" s="21" customFormat="1" ht="12" customHeight="1">
      <c r="B19" s="406" t="s">
        <v>479</v>
      </c>
      <c r="C19" s="262">
        <f>+'Quarterly Data'!J111</f>
        <v>19149</v>
      </c>
      <c r="D19" s="115">
        <f>+'Quarterly Data'!R111</f>
        <v>20409</v>
      </c>
      <c r="E19" s="115">
        <f>+'Quarterly Data'!Z111</f>
        <v>20409</v>
      </c>
      <c r="F19" s="115">
        <f>+'Quarterly Data'!AH111</f>
        <v>17108</v>
      </c>
      <c r="G19" s="115">
        <f>+'Quarterly Data'!AP111</f>
        <v>11582</v>
      </c>
      <c r="H19" s="115">
        <v>10927</v>
      </c>
      <c r="I19" s="108">
        <f>+'Quarterly Data'!BF111</f>
        <v>10927</v>
      </c>
      <c r="J19" s="494">
        <f>+'Quarterly Data'!BN111</f>
        <v>13694</v>
      </c>
    </row>
    <row r="20" spans="2:16" s="21" customFormat="1" ht="12" customHeight="1">
      <c r="B20" s="405" t="s">
        <v>480</v>
      </c>
      <c r="C20" s="262">
        <f>+'Quarterly Data'!J112</f>
        <v>54666</v>
      </c>
      <c r="D20" s="115">
        <f>+'Quarterly Data'!R112</f>
        <v>75771</v>
      </c>
      <c r="E20" s="115">
        <f>+'Quarterly Data'!Z112</f>
        <v>75122</v>
      </c>
      <c r="F20" s="115">
        <f>+'Quarterly Data'!AH112</f>
        <v>72325</v>
      </c>
      <c r="G20" s="115">
        <f>+'Quarterly Data'!AP112</f>
        <v>79612</v>
      </c>
      <c r="H20" s="115">
        <v>62817</v>
      </c>
      <c r="I20" s="108">
        <f>+'Quarterly Data'!BF112</f>
        <v>42103</v>
      </c>
      <c r="J20" s="494">
        <f>+'Quarterly Data'!BN112</f>
        <v>29124</v>
      </c>
      <c r="K20" s="12"/>
      <c r="L20" s="12"/>
      <c r="M20" s="12"/>
      <c r="N20" s="12"/>
      <c r="O20" s="12"/>
      <c r="P20" s="12"/>
    </row>
    <row r="21" spans="2:16" s="14" customFormat="1" ht="12" customHeight="1">
      <c r="B21" s="407" t="s">
        <v>532</v>
      </c>
      <c r="C21" s="416">
        <f aca="true" t="shared" si="2" ref="C21:I21">+C19+C20</f>
        <v>73815</v>
      </c>
      <c r="D21" s="110">
        <f t="shared" si="2"/>
        <v>96180</v>
      </c>
      <c r="E21" s="110">
        <f t="shared" si="2"/>
        <v>95531</v>
      </c>
      <c r="F21" s="110">
        <f t="shared" si="2"/>
        <v>89433</v>
      </c>
      <c r="G21" s="110">
        <f t="shared" si="2"/>
        <v>91194</v>
      </c>
      <c r="H21" s="110">
        <f t="shared" si="2"/>
        <v>73744</v>
      </c>
      <c r="I21" s="110">
        <f t="shared" si="2"/>
        <v>53030</v>
      </c>
      <c r="J21" s="111">
        <f>+J19+J20</f>
        <v>42818</v>
      </c>
      <c r="K21" s="12"/>
      <c r="L21" s="12"/>
      <c r="M21" s="12"/>
      <c r="N21" s="12"/>
      <c r="O21" s="12"/>
      <c r="P21" s="12"/>
    </row>
    <row r="22" spans="2:16" s="21" customFormat="1" ht="12" customHeight="1" hidden="1" outlineLevel="1">
      <c r="B22" s="107" t="s">
        <v>41</v>
      </c>
      <c r="C22" s="108">
        <f>+C14-C21</f>
        <v>0</v>
      </c>
      <c r="D22" s="108">
        <f>+D14-D21</f>
        <v>0</v>
      </c>
      <c r="E22" s="108">
        <f>+E21-E14</f>
        <v>0</v>
      </c>
      <c r="F22" s="108">
        <f>+F14-F21</f>
        <v>0</v>
      </c>
      <c r="G22" s="108">
        <f>+G14-G21</f>
        <v>0</v>
      </c>
      <c r="J22" s="12"/>
      <c r="K22" s="12"/>
      <c r="L22" s="12"/>
      <c r="M22" s="12"/>
      <c r="N22" s="12"/>
      <c r="O22" s="12"/>
      <c r="P22" s="12"/>
    </row>
    <row r="23" spans="2:16" s="14" customFormat="1" ht="12" customHeight="1" collapsed="1">
      <c r="B23" s="284" t="s">
        <v>505</v>
      </c>
      <c r="C23" s="89"/>
      <c r="D23" s="89"/>
      <c r="E23" s="89"/>
      <c r="F23" s="89"/>
      <c r="G23" s="89"/>
      <c r="J23" s="12"/>
      <c r="K23" s="12"/>
      <c r="L23" s="12"/>
      <c r="M23" s="12"/>
      <c r="N23" s="12"/>
      <c r="O23" s="12"/>
      <c r="P23" s="12"/>
    </row>
    <row r="24" spans="2:18" ht="12.75">
      <c r="B24" s="106" t="s">
        <v>477</v>
      </c>
      <c r="C24" s="18"/>
      <c r="D24" s="18"/>
      <c r="E24" s="18"/>
      <c r="F24" s="18"/>
      <c r="G24" s="12"/>
      <c r="J24" s="3"/>
      <c r="K24" s="3"/>
      <c r="L24" s="3"/>
      <c r="M24" s="3"/>
      <c r="N24" s="3"/>
      <c r="O24" s="3"/>
      <c r="P24" s="3"/>
      <c r="Q24" s="12"/>
      <c r="R24" s="12"/>
    </row>
    <row r="25" spans="2:18" ht="12.75">
      <c r="B25" s="18" t="s">
        <v>478</v>
      </c>
      <c r="C25" s="67"/>
      <c r="D25" s="67"/>
      <c r="E25" s="67"/>
      <c r="F25" s="67"/>
      <c r="G25" s="12"/>
      <c r="J25" s="3"/>
      <c r="K25" s="3"/>
      <c r="L25" s="3"/>
      <c r="M25" s="3"/>
      <c r="N25" s="3"/>
      <c r="O25" s="3"/>
      <c r="P25" s="3"/>
      <c r="Q25" s="12"/>
      <c r="R25" s="12"/>
    </row>
    <row r="26" spans="2:18" ht="12.75">
      <c r="B26" s="860" t="s">
        <v>684</v>
      </c>
      <c r="C26" s="67"/>
      <c r="D26" s="67"/>
      <c r="E26" s="67"/>
      <c r="F26" s="67"/>
      <c r="G26" s="12"/>
      <c r="J26" s="3"/>
      <c r="K26" s="3"/>
      <c r="L26" s="3"/>
      <c r="M26" s="3"/>
      <c r="N26" s="3"/>
      <c r="O26" s="3"/>
      <c r="P26" s="3"/>
      <c r="Q26" s="12"/>
      <c r="R26" s="12"/>
    </row>
    <row r="27" spans="2:18" ht="12.75">
      <c r="B27" s="862" t="s">
        <v>685</v>
      </c>
      <c r="C27" s="67"/>
      <c r="D27" s="67"/>
      <c r="E27" s="67"/>
      <c r="F27" s="67"/>
      <c r="G27" s="12"/>
      <c r="J27" s="3"/>
      <c r="K27" s="3"/>
      <c r="L27" s="3"/>
      <c r="M27" s="3"/>
      <c r="N27" s="3"/>
      <c r="O27" s="3"/>
      <c r="P27" s="3"/>
      <c r="Q27" s="12"/>
      <c r="R27" s="12"/>
    </row>
    <row r="28" spans="3:8" s="1" customFormat="1" ht="12.75">
      <c r="C28" s="427"/>
      <c r="D28" s="427"/>
      <c r="E28" s="427"/>
      <c r="F28" s="427"/>
      <c r="G28" s="427"/>
      <c r="H28" s="427"/>
    </row>
    <row r="29" spans="2:18" ht="12.75">
      <c r="B29" s="864" t="s">
        <v>204</v>
      </c>
      <c r="C29" s="871"/>
      <c r="D29" s="872"/>
      <c r="E29" s="872"/>
      <c r="F29" s="872"/>
      <c r="G29" s="872"/>
      <c r="H29" s="872"/>
      <c r="I29" s="872"/>
      <c r="J29" s="873"/>
      <c r="Q29" s="12"/>
      <c r="R29" s="12"/>
    </row>
    <row r="30" spans="2:18" ht="12.75">
      <c r="B30" s="865"/>
      <c r="C30" s="393" t="str">
        <f aca="true" t="shared" si="3" ref="C30:H30">+C5</f>
        <v>2013 Restated</v>
      </c>
      <c r="D30" s="321">
        <f t="shared" si="3"/>
        <v>2014</v>
      </c>
      <c r="E30" s="321" t="str">
        <f t="shared" si="3"/>
        <v>2014 Restated</v>
      </c>
      <c r="F30" s="321">
        <f t="shared" si="3"/>
        <v>2015</v>
      </c>
      <c r="G30" s="321">
        <f t="shared" si="3"/>
        <v>2016</v>
      </c>
      <c r="H30" s="321">
        <f t="shared" si="3"/>
        <v>2017</v>
      </c>
      <c r="I30" s="318" t="s">
        <v>682</v>
      </c>
      <c r="J30" s="453" t="str">
        <f>+J5</f>
        <v>2018 (5)</v>
      </c>
      <c r="Q30" s="12"/>
      <c r="R30" s="12"/>
    </row>
    <row r="31" spans="1:10" s="3" customFormat="1" ht="12.75">
      <c r="A31" s="4"/>
      <c r="B31" s="398"/>
      <c r="C31" s="428"/>
      <c r="D31" s="98"/>
      <c r="E31" s="98"/>
      <c r="F31" s="98"/>
      <c r="G31" s="98"/>
      <c r="H31" s="164"/>
      <c r="I31" s="164"/>
      <c r="J31" s="102"/>
    </row>
    <row r="32" spans="1:10" s="3" customFormat="1" ht="12.75">
      <c r="A32" s="4"/>
      <c r="B32" s="417" t="s">
        <v>198</v>
      </c>
      <c r="C32" s="429"/>
      <c r="D32" s="116"/>
      <c r="E32" s="116"/>
      <c r="F32" s="116"/>
      <c r="G32" s="116"/>
      <c r="H32" s="164"/>
      <c r="I32" s="164"/>
      <c r="J32" s="102"/>
    </row>
    <row r="33" spans="2:18" ht="12.75">
      <c r="B33" s="418"/>
      <c r="C33" s="426"/>
      <c r="D33" s="101"/>
      <c r="E33" s="101"/>
      <c r="F33" s="101"/>
      <c r="G33" s="101"/>
      <c r="H33" s="18"/>
      <c r="I33" s="18"/>
      <c r="J33" s="348"/>
      <c r="O33" s="12"/>
      <c r="P33" s="12"/>
      <c r="Q33" s="12"/>
      <c r="R33" s="12"/>
    </row>
    <row r="34" spans="2:18" ht="14.25">
      <c r="B34" s="88" t="s">
        <v>385</v>
      </c>
      <c r="C34" s="430">
        <f>+'Quarterly Data'!J119</f>
        <v>410</v>
      </c>
      <c r="D34" s="112">
        <f>+'Quarterly Data'!R119</f>
        <v>417</v>
      </c>
      <c r="E34" s="112">
        <f>+'Quarterly Data'!Z119</f>
        <v>417</v>
      </c>
      <c r="F34" s="112">
        <f>+'Quarterly Data'!AH119</f>
        <v>485</v>
      </c>
      <c r="G34" s="112">
        <f>+'Quarterly Data'!AP119</f>
        <v>521</v>
      </c>
      <c r="H34" s="18">
        <v>437</v>
      </c>
      <c r="I34" s="76">
        <f>+'Quarterly Data'!BF119</f>
        <v>437</v>
      </c>
      <c r="J34" s="78">
        <f>+'Quarterly Data'!BN119</f>
        <v>354</v>
      </c>
      <c r="O34" s="12"/>
      <c r="P34" s="12"/>
      <c r="Q34" s="12"/>
      <c r="R34" s="12"/>
    </row>
    <row r="35" spans="2:18" ht="12.75">
      <c r="B35" s="88" t="s">
        <v>481</v>
      </c>
      <c r="C35" s="430">
        <f>+'Quarterly Data'!J120</f>
        <v>12512</v>
      </c>
      <c r="D35" s="112">
        <f>+'Quarterly Data'!R120</f>
        <v>9915</v>
      </c>
      <c r="E35" s="112">
        <f>+'Quarterly Data'!Z120</f>
        <v>9915</v>
      </c>
      <c r="F35" s="112">
        <f>+'Quarterly Data'!AH120</f>
        <v>12722</v>
      </c>
      <c r="G35" s="112">
        <f>+'Quarterly Data'!AP120</f>
        <v>14615</v>
      </c>
      <c r="H35" s="206">
        <v>15102</v>
      </c>
      <c r="I35" s="76">
        <f>+'Quarterly Data'!BF120</f>
        <v>15102</v>
      </c>
      <c r="J35" s="78">
        <f>+'Quarterly Data'!BN120</f>
        <v>14566</v>
      </c>
      <c r="O35" s="12"/>
      <c r="P35" s="12"/>
      <c r="Q35" s="12"/>
      <c r="R35" s="12"/>
    </row>
    <row r="36" spans="2:18" ht="12.75">
      <c r="B36" s="88" t="s">
        <v>387</v>
      </c>
      <c r="C36" s="430">
        <f>+'Quarterly Data'!J121</f>
        <v>3078</v>
      </c>
      <c r="D36" s="112">
        <f>+'Quarterly Data'!R121</f>
        <v>2739</v>
      </c>
      <c r="E36" s="112">
        <f>+'Quarterly Data'!Z121</f>
        <v>2739</v>
      </c>
      <c r="F36" s="112">
        <f>+'Quarterly Data'!AH121</f>
        <v>4172</v>
      </c>
      <c r="G36" s="112">
        <f>+'Quarterly Data'!AP121</f>
        <v>6745</v>
      </c>
      <c r="H36" s="206">
        <v>5843</v>
      </c>
      <c r="I36" s="76">
        <f>+'Quarterly Data'!BF121</f>
        <v>5843</v>
      </c>
      <c r="J36" s="78">
        <f>+'Quarterly Data'!BN121</f>
        <v>5811</v>
      </c>
      <c r="O36" s="12"/>
      <c r="P36" s="12"/>
      <c r="Q36" s="12"/>
      <c r="R36" s="12"/>
    </row>
    <row r="37" spans="2:18" ht="14.25">
      <c r="B37" s="88" t="s">
        <v>482</v>
      </c>
      <c r="C37" s="430">
        <f>+'Quarterly Data'!J122</f>
        <v>-341</v>
      </c>
      <c r="D37" s="112">
        <f>+'Quarterly Data'!R122</f>
        <v>172</v>
      </c>
      <c r="E37" s="112">
        <f>+'Quarterly Data'!Z122</f>
        <v>172</v>
      </c>
      <c r="F37" s="112">
        <f>+'Quarterly Data'!AH122</f>
        <v>197</v>
      </c>
      <c r="G37" s="112">
        <f>+'Quarterly Data'!AP122</f>
        <v>0</v>
      </c>
      <c r="H37" s="18">
        <v>-94</v>
      </c>
      <c r="I37" s="76">
        <f>+'Quarterly Data'!BF122</f>
        <v>-94</v>
      </c>
      <c r="J37" s="78">
        <f>+'Quarterly Data'!BN122</f>
        <v>-17</v>
      </c>
      <c r="O37" s="12"/>
      <c r="P37" s="12"/>
      <c r="Q37" s="12"/>
      <c r="R37" s="12"/>
    </row>
    <row r="38" spans="2:18" ht="12.75">
      <c r="B38" s="403" t="s">
        <v>531</v>
      </c>
      <c r="C38" s="431">
        <f aca="true" t="shared" si="4" ref="C38:I38">SUM(C34:C37)</f>
        <v>15659</v>
      </c>
      <c r="D38" s="92">
        <f t="shared" si="4"/>
        <v>13243</v>
      </c>
      <c r="E38" s="92">
        <f t="shared" si="4"/>
        <v>13243</v>
      </c>
      <c r="F38" s="92">
        <f t="shared" si="4"/>
        <v>17576</v>
      </c>
      <c r="G38" s="92">
        <f t="shared" si="4"/>
        <v>21881</v>
      </c>
      <c r="H38" s="92">
        <f t="shared" si="4"/>
        <v>21288</v>
      </c>
      <c r="I38" s="92">
        <f t="shared" si="4"/>
        <v>21288</v>
      </c>
      <c r="J38" s="94">
        <f>SUM(J34:J37)</f>
        <v>20714</v>
      </c>
      <c r="O38" s="12"/>
      <c r="P38" s="12"/>
      <c r="Q38" s="12"/>
      <c r="R38" s="12"/>
    </row>
    <row r="39" spans="2:18" ht="12.75">
      <c r="B39" s="401"/>
      <c r="C39" s="103"/>
      <c r="D39" s="57"/>
      <c r="E39" s="57"/>
      <c r="F39" s="57"/>
      <c r="G39" s="57"/>
      <c r="H39" s="18"/>
      <c r="I39" s="18"/>
      <c r="J39" s="348"/>
      <c r="O39" s="12"/>
      <c r="P39" s="12"/>
      <c r="Q39" s="12"/>
      <c r="R39" s="12"/>
    </row>
    <row r="40" spans="2:18" ht="12.75">
      <c r="B40" s="419"/>
      <c r="C40" s="103"/>
      <c r="D40" s="57"/>
      <c r="E40" s="57"/>
      <c r="F40" s="57"/>
      <c r="G40" s="57"/>
      <c r="H40" s="18"/>
      <c r="I40" s="18"/>
      <c r="J40" s="348"/>
      <c r="O40" s="12"/>
      <c r="P40" s="12"/>
      <c r="Q40" s="12"/>
      <c r="R40" s="12"/>
    </row>
    <row r="41" spans="2:18" ht="12.75">
      <c r="B41" s="403" t="s">
        <v>384</v>
      </c>
      <c r="C41" s="432">
        <f>+'Quarterly Data'!J124</f>
        <v>1799</v>
      </c>
      <c r="D41" s="96">
        <f>+'Quarterly Data'!R124</f>
        <v>1734</v>
      </c>
      <c r="E41" s="96">
        <f>+'Quarterly Data'!Z124</f>
        <v>1734</v>
      </c>
      <c r="F41" s="96">
        <f>+'Quarterly Data'!AH124</f>
        <v>1508</v>
      </c>
      <c r="G41" s="96">
        <f>+'Quarterly Data'!AP124</f>
        <v>1403</v>
      </c>
      <c r="H41" s="96">
        <f>+'Quarterly Data'!AX124</f>
        <v>1636</v>
      </c>
      <c r="I41" s="96">
        <f>+'Quarterly Data'!BF124</f>
        <v>1636</v>
      </c>
      <c r="J41" s="97">
        <f>+'Quarterly Data'!BN124</f>
        <v>1909</v>
      </c>
      <c r="O41" s="12"/>
      <c r="P41" s="12"/>
      <c r="Q41" s="12"/>
      <c r="R41" s="12"/>
    </row>
    <row r="42" spans="2:18" ht="12.75">
      <c r="B42" s="420"/>
      <c r="C42" s="103"/>
      <c r="D42" s="57"/>
      <c r="E42" s="57"/>
      <c r="F42" s="57"/>
      <c r="G42" s="57"/>
      <c r="H42" s="18"/>
      <c r="I42" s="18"/>
      <c r="J42" s="348"/>
      <c r="O42" s="12"/>
      <c r="P42" s="12"/>
      <c r="Q42" s="12"/>
      <c r="R42" s="12"/>
    </row>
    <row r="43" spans="2:18" ht="12.75">
      <c r="B43" s="420"/>
      <c r="C43" s="103"/>
      <c r="D43" s="57"/>
      <c r="E43" s="57"/>
      <c r="F43" s="57"/>
      <c r="G43" s="57"/>
      <c r="H43" s="18"/>
      <c r="I43" s="18"/>
      <c r="J43" s="348"/>
      <c r="O43" s="12"/>
      <c r="P43" s="12"/>
      <c r="Q43" s="12"/>
      <c r="R43" s="12"/>
    </row>
    <row r="44" spans="2:18" ht="12.75">
      <c r="B44" s="417" t="s">
        <v>199</v>
      </c>
      <c r="C44" s="429"/>
      <c r="D44" s="116"/>
      <c r="E44" s="116"/>
      <c r="F44" s="116"/>
      <c r="G44" s="116"/>
      <c r="H44" s="18"/>
      <c r="I44" s="18"/>
      <c r="J44" s="348"/>
      <c r="O44" s="12"/>
      <c r="P44" s="12"/>
      <c r="Q44" s="12"/>
      <c r="R44" s="12"/>
    </row>
    <row r="45" spans="2:18" ht="12.75">
      <c r="B45" s="421"/>
      <c r="C45" s="429"/>
      <c r="D45" s="116"/>
      <c r="E45" s="116"/>
      <c r="F45" s="116"/>
      <c r="G45" s="116"/>
      <c r="H45" s="18"/>
      <c r="I45" s="18"/>
      <c r="J45" s="348"/>
      <c r="O45" s="12"/>
      <c r="P45" s="12"/>
      <c r="Q45" s="12"/>
      <c r="R45" s="12"/>
    </row>
    <row r="46" spans="2:18" ht="12.75">
      <c r="B46" s="422" t="s">
        <v>101</v>
      </c>
      <c r="C46" s="379">
        <f>+'Quarterly Data'!J127</f>
        <v>2737</v>
      </c>
      <c r="D46" s="70">
        <f>+'Quarterly Data'!R127</f>
        <v>2314</v>
      </c>
      <c r="E46" s="70">
        <f>+'Quarterly Data'!Z127</f>
        <v>2314</v>
      </c>
      <c r="F46" s="70">
        <f>+'Quarterly Data'!AH127</f>
        <v>2648</v>
      </c>
      <c r="G46" s="70">
        <f>+'Quarterly Data'!AP127</f>
        <v>2562</v>
      </c>
      <c r="H46" s="70">
        <v>2404</v>
      </c>
      <c r="I46" s="76">
        <f>+'Quarterly Data'!BF127</f>
        <v>2404</v>
      </c>
      <c r="J46" s="78">
        <f>+'Quarterly Data'!BN127</f>
        <v>2804</v>
      </c>
      <c r="O46" s="12"/>
      <c r="P46" s="12"/>
      <c r="Q46" s="12"/>
      <c r="R46" s="12"/>
    </row>
    <row r="47" spans="2:18" ht="12.75">
      <c r="B47" s="91" t="s">
        <v>102</v>
      </c>
      <c r="C47" s="379">
        <f>+'Quarterly Data'!J128</f>
        <v>2707</v>
      </c>
      <c r="D47" s="70">
        <f>+'Quarterly Data'!R128</f>
        <v>3413</v>
      </c>
      <c r="E47" s="70">
        <f>+'Quarterly Data'!Z128</f>
        <v>3413</v>
      </c>
      <c r="F47" s="70">
        <f>+'Quarterly Data'!AH128</f>
        <v>3385</v>
      </c>
      <c r="G47" s="70">
        <f>+'Quarterly Data'!AP128</f>
        <v>3970</v>
      </c>
      <c r="H47" s="70">
        <v>4507</v>
      </c>
      <c r="I47" s="76">
        <f>+'Quarterly Data'!BF128</f>
        <v>4507</v>
      </c>
      <c r="J47" s="78">
        <f>+'Quarterly Data'!BN128</f>
        <v>4518</v>
      </c>
      <c r="O47" s="12"/>
      <c r="P47" s="12"/>
      <c r="Q47" s="12"/>
      <c r="R47" s="12"/>
    </row>
    <row r="48" spans="2:18" ht="12.75">
      <c r="B48" s="91" t="s">
        <v>103</v>
      </c>
      <c r="C48" s="379">
        <f>+'Quarterly Data'!J129</f>
        <v>6578</v>
      </c>
      <c r="D48" s="70">
        <f>+'Quarterly Data'!R129</f>
        <v>4407</v>
      </c>
      <c r="E48" s="70">
        <f>+'Quarterly Data'!Z129</f>
        <v>4407</v>
      </c>
      <c r="F48" s="70">
        <f>+'Quarterly Data'!AH129</f>
        <v>5671</v>
      </c>
      <c r="G48" s="70">
        <f>+'Quarterly Data'!AP129</f>
        <v>7320</v>
      </c>
      <c r="H48" s="70">
        <v>7311</v>
      </c>
      <c r="I48" s="76">
        <f>+'Quarterly Data'!BF129</f>
        <v>7311</v>
      </c>
      <c r="J48" s="78">
        <f>+'Quarterly Data'!BN129</f>
        <v>6501</v>
      </c>
      <c r="O48" s="12"/>
      <c r="P48" s="12"/>
      <c r="Q48" s="12"/>
      <c r="R48" s="12"/>
    </row>
    <row r="49" spans="2:18" ht="12.75">
      <c r="B49" s="91" t="s">
        <v>104</v>
      </c>
      <c r="C49" s="379">
        <f>+'Quarterly Data'!J130</f>
        <v>3637</v>
      </c>
      <c r="D49" s="70">
        <f>+'Quarterly Data'!R130</f>
        <v>3109</v>
      </c>
      <c r="E49" s="70">
        <f>+'Quarterly Data'!Z130</f>
        <v>3109</v>
      </c>
      <c r="F49" s="70">
        <f>+'Quarterly Data'!AH130</f>
        <v>5872</v>
      </c>
      <c r="G49" s="70">
        <f>+'Quarterly Data'!AP130</f>
        <v>8029</v>
      </c>
      <c r="H49" s="70">
        <v>7066</v>
      </c>
      <c r="I49" s="76">
        <f>+'Quarterly Data'!BF130</f>
        <v>7066</v>
      </c>
      <c r="J49" s="78">
        <f>+'Quarterly Data'!BN130</f>
        <v>6890</v>
      </c>
      <c r="O49" s="12"/>
      <c r="P49" s="12"/>
      <c r="Q49" s="12"/>
      <c r="R49" s="12"/>
    </row>
    <row r="50" spans="2:18" ht="12.75">
      <c r="B50" s="403" t="s">
        <v>532</v>
      </c>
      <c r="C50" s="431">
        <f aca="true" t="shared" si="5" ref="C50:I50">+SUM(C46:C49)</f>
        <v>15659</v>
      </c>
      <c r="D50" s="92">
        <f t="shared" si="5"/>
        <v>13243</v>
      </c>
      <c r="E50" s="92">
        <f t="shared" si="5"/>
        <v>13243</v>
      </c>
      <c r="F50" s="92">
        <f t="shared" si="5"/>
        <v>17576</v>
      </c>
      <c r="G50" s="92">
        <f t="shared" si="5"/>
        <v>21881</v>
      </c>
      <c r="H50" s="92">
        <f t="shared" si="5"/>
        <v>21288</v>
      </c>
      <c r="I50" s="92">
        <f t="shared" si="5"/>
        <v>21288</v>
      </c>
      <c r="J50" s="94">
        <f>+SUM(J46:J49)</f>
        <v>20713</v>
      </c>
      <c r="O50" s="12"/>
      <c r="P50" s="12"/>
      <c r="Q50" s="12"/>
      <c r="R50" s="12"/>
    </row>
    <row r="51" spans="2:18" ht="12.75">
      <c r="B51" s="420"/>
      <c r="C51" s="433"/>
      <c r="D51" s="93"/>
      <c r="E51" s="93"/>
      <c r="F51" s="93"/>
      <c r="G51" s="93"/>
      <c r="H51" s="18"/>
      <c r="I51" s="18"/>
      <c r="J51" s="348"/>
      <c r="O51" s="12"/>
      <c r="P51" s="12"/>
      <c r="Q51" s="12"/>
      <c r="R51" s="12"/>
    </row>
    <row r="52" spans="2:18" ht="12.75">
      <c r="B52" s="403" t="s">
        <v>386</v>
      </c>
      <c r="C52" s="432">
        <f aca="true" t="shared" si="6" ref="C52:I52">+C41</f>
        <v>1799</v>
      </c>
      <c r="D52" s="96">
        <f t="shared" si="6"/>
        <v>1734</v>
      </c>
      <c r="E52" s="96">
        <f t="shared" si="6"/>
        <v>1734</v>
      </c>
      <c r="F52" s="96">
        <f t="shared" si="6"/>
        <v>1508</v>
      </c>
      <c r="G52" s="96">
        <f t="shared" si="6"/>
        <v>1403</v>
      </c>
      <c r="H52" s="96">
        <f t="shared" si="6"/>
        <v>1636</v>
      </c>
      <c r="I52" s="96">
        <f t="shared" si="6"/>
        <v>1636</v>
      </c>
      <c r="J52" s="97">
        <f>+J41</f>
        <v>1909</v>
      </c>
      <c r="O52" s="12"/>
      <c r="P52" s="12"/>
      <c r="Q52" s="12"/>
      <c r="R52" s="12"/>
    </row>
    <row r="53" spans="2:18" ht="12.75">
      <c r="B53" s="423"/>
      <c r="C53" s="434"/>
      <c r="D53" s="99"/>
      <c r="E53" s="99"/>
      <c r="F53" s="99"/>
      <c r="G53" s="99"/>
      <c r="H53" s="18"/>
      <c r="I53" s="18"/>
      <c r="J53" s="348"/>
      <c r="O53" s="12"/>
      <c r="P53" s="12"/>
      <c r="Q53" s="12"/>
      <c r="R53" s="12"/>
    </row>
    <row r="54" spans="2:18" ht="12.75" hidden="1" outlineLevel="1">
      <c r="B54" s="423" t="s">
        <v>41</v>
      </c>
      <c r="C54" s="434">
        <f>+C38-C50</f>
        <v>0</v>
      </c>
      <c r="D54" s="99">
        <f>+D38-D50</f>
        <v>0</v>
      </c>
      <c r="E54" s="99">
        <f>+E38-E50</f>
        <v>0</v>
      </c>
      <c r="F54" s="99">
        <f>+F38-F50</f>
        <v>0</v>
      </c>
      <c r="G54" s="99">
        <f>+G38-G50</f>
        <v>0</v>
      </c>
      <c r="H54" s="18"/>
      <c r="I54" s="18"/>
      <c r="J54" s="348"/>
      <c r="O54" s="12"/>
      <c r="P54" s="12"/>
      <c r="Q54" s="12"/>
      <c r="R54" s="12"/>
    </row>
    <row r="55" spans="2:18" ht="12.75" collapsed="1">
      <c r="B55" s="424"/>
      <c r="C55" s="91"/>
      <c r="D55" s="58"/>
      <c r="E55" s="58"/>
      <c r="F55" s="58"/>
      <c r="G55" s="58"/>
      <c r="H55" s="18"/>
      <c r="I55" s="18"/>
      <c r="J55" s="348"/>
      <c r="O55" s="12"/>
      <c r="P55" s="12"/>
      <c r="Q55" s="12"/>
      <c r="R55" s="12"/>
    </row>
    <row r="56" spans="2:18" ht="12.75">
      <c r="B56" s="417" t="s">
        <v>173</v>
      </c>
      <c r="C56" s="429"/>
      <c r="D56" s="116"/>
      <c r="E56" s="116"/>
      <c r="F56" s="116"/>
      <c r="G56" s="116"/>
      <c r="H56" s="18"/>
      <c r="I56" s="18"/>
      <c r="J56" s="348"/>
      <c r="O56" s="12"/>
      <c r="P56" s="12"/>
      <c r="Q56" s="12"/>
      <c r="R56" s="12"/>
    </row>
    <row r="57" spans="2:18" ht="12.75">
      <c r="B57" s="418"/>
      <c r="C57" s="103"/>
      <c r="D57" s="57"/>
      <c r="E57" s="57"/>
      <c r="F57" s="57"/>
      <c r="G57" s="57"/>
      <c r="H57" s="18"/>
      <c r="I57" s="18"/>
      <c r="J57" s="348"/>
      <c r="O57" s="12"/>
      <c r="P57" s="12"/>
      <c r="Q57" s="12"/>
      <c r="R57" s="12"/>
    </row>
    <row r="58" spans="2:18" ht="12.75">
      <c r="B58" s="418" t="s">
        <v>100</v>
      </c>
      <c r="C58" s="311">
        <v>1940</v>
      </c>
      <c r="D58" s="171">
        <v>2620</v>
      </c>
      <c r="E58" s="171">
        <v>2620</v>
      </c>
      <c r="F58" s="171">
        <v>2546</v>
      </c>
      <c r="G58" s="171">
        <v>2163</v>
      </c>
      <c r="H58" s="171">
        <v>1874</v>
      </c>
      <c r="I58" s="171">
        <v>1874</v>
      </c>
      <c r="J58" s="495">
        <v>1664</v>
      </c>
      <c r="O58" s="12"/>
      <c r="P58" s="12"/>
      <c r="Q58" s="12"/>
      <c r="R58" s="12"/>
    </row>
    <row r="59" spans="2:18" ht="12.75">
      <c r="B59" s="401" t="s">
        <v>384</v>
      </c>
      <c r="C59" s="311">
        <v>1640</v>
      </c>
      <c r="D59" s="171">
        <v>1541</v>
      </c>
      <c r="E59" s="171">
        <v>1541</v>
      </c>
      <c r="F59" s="171">
        <v>1808</v>
      </c>
      <c r="G59" s="171">
        <v>1980</v>
      </c>
      <c r="H59" s="171">
        <v>2127</v>
      </c>
      <c r="I59" s="171">
        <v>2127</v>
      </c>
      <c r="J59" s="495">
        <v>2349</v>
      </c>
      <c r="O59" s="12"/>
      <c r="P59" s="12"/>
      <c r="Q59" s="12"/>
      <c r="R59" s="12"/>
    </row>
    <row r="60" spans="2:18" ht="12.75">
      <c r="B60" s="424"/>
      <c r="C60" s="103"/>
      <c r="D60" s="57"/>
      <c r="E60" s="57"/>
      <c r="F60" s="57"/>
      <c r="G60" s="57"/>
      <c r="H60" s="18"/>
      <c r="I60" s="18"/>
      <c r="J60" s="348"/>
      <c r="O60" s="12"/>
      <c r="P60" s="12"/>
      <c r="Q60" s="12"/>
      <c r="R60" s="12"/>
    </row>
    <row r="61" spans="2:18" ht="12.75">
      <c r="B61" s="425" t="s">
        <v>172</v>
      </c>
      <c r="C61" s="431">
        <f aca="true" t="shared" si="7" ref="C61:I61">+C58+C59</f>
        <v>3580</v>
      </c>
      <c r="D61" s="92">
        <f t="shared" si="7"/>
        <v>4161</v>
      </c>
      <c r="E61" s="92">
        <f t="shared" si="7"/>
        <v>4161</v>
      </c>
      <c r="F61" s="92">
        <f t="shared" si="7"/>
        <v>4354</v>
      </c>
      <c r="G61" s="92">
        <f t="shared" si="7"/>
        <v>4143</v>
      </c>
      <c r="H61" s="92">
        <f t="shared" si="7"/>
        <v>4001</v>
      </c>
      <c r="I61" s="92">
        <f t="shared" si="7"/>
        <v>4001</v>
      </c>
      <c r="J61" s="94">
        <f>+J58+J59</f>
        <v>4013</v>
      </c>
      <c r="O61" s="12"/>
      <c r="P61" s="12"/>
      <c r="Q61" s="12"/>
      <c r="R61" s="12"/>
    </row>
    <row r="62" spans="2:18" ht="12.75">
      <c r="B62" s="426"/>
      <c r="C62" s="103"/>
      <c r="D62" s="57"/>
      <c r="E62" s="57"/>
      <c r="F62" s="57"/>
      <c r="G62" s="57"/>
      <c r="H62" s="18"/>
      <c r="I62" s="18"/>
      <c r="J62" s="348"/>
      <c r="O62" s="12"/>
      <c r="P62" s="12"/>
      <c r="Q62" s="12"/>
      <c r="R62" s="12"/>
    </row>
    <row r="63" spans="1:10" s="3" customFormat="1" ht="11.25" customHeight="1">
      <c r="A63" s="4"/>
      <c r="B63" s="103"/>
      <c r="C63" s="429"/>
      <c r="D63" s="116"/>
      <c r="E63" s="116"/>
      <c r="F63" s="116"/>
      <c r="G63" s="116"/>
      <c r="H63" s="164"/>
      <c r="I63" s="164"/>
      <c r="J63" s="102"/>
    </row>
    <row r="64" spans="2:18" ht="12.75">
      <c r="B64" s="403" t="s">
        <v>392</v>
      </c>
      <c r="C64" s="435">
        <v>50.4</v>
      </c>
      <c r="D64" s="285">
        <v>46.2</v>
      </c>
      <c r="E64" s="285">
        <v>46.2</v>
      </c>
      <c r="F64" s="285">
        <v>42</v>
      </c>
      <c r="G64" s="285">
        <v>40.4</v>
      </c>
      <c r="H64" s="285">
        <v>36.5</v>
      </c>
      <c r="I64" s="285">
        <v>36.5</v>
      </c>
      <c r="J64" s="496">
        <v>34.1</v>
      </c>
      <c r="O64" s="12"/>
      <c r="P64" s="12"/>
      <c r="Q64" s="12"/>
      <c r="R64" s="12"/>
    </row>
    <row r="65" spans="2:18" ht="12.75">
      <c r="B65" s="407" t="s">
        <v>483</v>
      </c>
      <c r="C65" s="436">
        <v>309.3</v>
      </c>
      <c r="D65" s="250">
        <v>283.5</v>
      </c>
      <c r="E65" s="250">
        <v>283.5</v>
      </c>
      <c r="F65" s="250">
        <v>257.5</v>
      </c>
      <c r="G65" s="250">
        <v>248.4</v>
      </c>
      <c r="H65" s="250">
        <v>224</v>
      </c>
      <c r="I65" s="250">
        <v>224</v>
      </c>
      <c r="J65" s="497">
        <v>209.1</v>
      </c>
      <c r="O65" s="12"/>
      <c r="P65" s="12"/>
      <c r="Q65" s="12"/>
      <c r="R65" s="12"/>
    </row>
    <row r="66" spans="2:7" ht="12.75">
      <c r="B66" s="274" t="s">
        <v>484</v>
      </c>
      <c r="G66" s="12"/>
    </row>
    <row r="67" ht="12.75">
      <c r="B67" s="286" t="s">
        <v>485</v>
      </c>
    </row>
    <row r="68" ht="12.75">
      <c r="B68" s="358" t="s">
        <v>579</v>
      </c>
    </row>
    <row r="69" ht="12.75">
      <c r="B69" s="490" t="s">
        <v>676</v>
      </c>
    </row>
    <row r="70" ht="12.75">
      <c r="B70" s="16" t="s">
        <v>217</v>
      </c>
    </row>
    <row r="71" ht="12.75">
      <c r="B71" s="16" t="s">
        <v>218</v>
      </c>
    </row>
  </sheetData>
  <sheetProtection/>
  <mergeCells count="4">
    <mergeCell ref="B4:B5"/>
    <mergeCell ref="B29:B30"/>
    <mergeCell ref="C4:J4"/>
    <mergeCell ref="C29:J29"/>
  </mergeCells>
  <printOptions horizontalCentered="1" verticalCentered="1"/>
  <pageMargins left="0.5511811023622047" right="0.5511811023622047" top="0.6692913385826772" bottom="4.645669291338583" header="0.5118110236220472" footer="0.5118110236220472"/>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A2:R42"/>
  <sheetViews>
    <sheetView zoomScalePageLayoutView="0" workbookViewId="0" topLeftCell="B1">
      <pane xSplit="1" topLeftCell="C1" activePane="topRight" state="frozen"/>
      <selection pane="topLeft" activeCell="B1" sqref="B1"/>
      <selection pane="topRight" activeCell="B42" sqref="B42"/>
    </sheetView>
  </sheetViews>
  <sheetFormatPr defaultColWidth="9.140625" defaultRowHeight="12.75" outlineLevelCol="1"/>
  <cols>
    <col min="1" max="1" width="6.421875" style="46" customWidth="1"/>
    <col min="2" max="2" width="48.8515625" style="46" customWidth="1"/>
    <col min="3" max="3" width="13.7109375" style="46" customWidth="1"/>
    <col min="4" max="4" width="11.28125" style="46" customWidth="1" outlineLevel="1"/>
    <col min="5" max="5" width="13.57421875" style="46" customWidth="1"/>
    <col min="6" max="7" width="11.28125" style="46" customWidth="1"/>
    <col min="8" max="8" width="11.28125" style="46" hidden="1" customWidth="1" outlineLevel="1"/>
    <col min="9" max="9" width="18.00390625" style="46" bestFit="1" customWidth="1" collapsed="1"/>
    <col min="10" max="10" width="9.140625" style="46" customWidth="1"/>
    <col min="11" max="11" width="8.140625" style="46" customWidth="1"/>
    <col min="12" max="12" width="15.8515625" style="46" bestFit="1" customWidth="1"/>
    <col min="13" max="13" width="12.7109375" style="46" bestFit="1" customWidth="1"/>
    <col min="14" max="14" width="13.7109375" style="46" bestFit="1" customWidth="1"/>
    <col min="15" max="15" width="9.140625" style="46" customWidth="1"/>
    <col min="16" max="16" width="15.8515625" style="46" bestFit="1" customWidth="1"/>
    <col min="17" max="17" width="12.7109375" style="46" bestFit="1" customWidth="1"/>
    <col min="18" max="18" width="13.7109375" style="46" bestFit="1" customWidth="1"/>
    <col min="19" max="16384" width="9.140625" style="46" customWidth="1"/>
  </cols>
  <sheetData>
    <row r="2" ht="15.75">
      <c r="B2" s="15" t="s">
        <v>205</v>
      </c>
    </row>
    <row r="4" spans="1:10" ht="12.75">
      <c r="A4" s="44"/>
      <c r="B4" s="874" t="s">
        <v>105</v>
      </c>
      <c r="C4" s="871"/>
      <c r="D4" s="872"/>
      <c r="E4" s="872"/>
      <c r="F4" s="872"/>
      <c r="G4" s="872"/>
      <c r="H4" s="872"/>
      <c r="I4" s="872"/>
      <c r="J4" s="873"/>
    </row>
    <row r="5" spans="1:10" s="44" customFormat="1" ht="12.75">
      <c r="A5" s="46"/>
      <c r="B5" s="875"/>
      <c r="C5" s="393" t="s">
        <v>358</v>
      </c>
      <c r="D5" s="321">
        <v>2014</v>
      </c>
      <c r="E5" s="321" t="s">
        <v>359</v>
      </c>
      <c r="F5" s="321">
        <v>2015</v>
      </c>
      <c r="G5" s="321">
        <v>2016</v>
      </c>
      <c r="H5" s="321">
        <v>2017</v>
      </c>
      <c r="I5" s="462" t="s">
        <v>583</v>
      </c>
      <c r="J5" s="453">
        <v>2018</v>
      </c>
    </row>
    <row r="6" spans="2:10" s="44" customFormat="1" ht="12.75">
      <c r="B6" s="418"/>
      <c r="C6" s="439"/>
      <c r="D6" s="346"/>
      <c r="E6" s="346"/>
      <c r="F6" s="346"/>
      <c r="G6" s="346"/>
      <c r="H6" s="90"/>
      <c r="I6" s="454"/>
      <c r="J6" s="863"/>
    </row>
    <row r="7" spans="1:10" s="45" customFormat="1" ht="12.75">
      <c r="A7" s="44"/>
      <c r="B7" s="437" t="s">
        <v>376</v>
      </c>
      <c r="C7" s="440">
        <v>4931</v>
      </c>
      <c r="D7" s="207">
        <v>3742</v>
      </c>
      <c r="E7" s="207">
        <v>3742</v>
      </c>
      <c r="F7" s="207">
        <v>3733</v>
      </c>
      <c r="G7" s="207">
        <v>3327</v>
      </c>
      <c r="H7" s="208">
        <v>3767</v>
      </c>
      <c r="I7" s="212">
        <v>3767</v>
      </c>
      <c r="J7" s="242">
        <v>4545</v>
      </c>
    </row>
    <row r="8" spans="2:10" s="45" customFormat="1" ht="12.75">
      <c r="B8" s="437" t="s">
        <v>375</v>
      </c>
      <c r="C8" s="440">
        <f>26+2</f>
        <v>28</v>
      </c>
      <c r="D8" s="207">
        <f>8+3</f>
        <v>11</v>
      </c>
      <c r="E8" s="207">
        <v>8</v>
      </c>
      <c r="F8" s="207">
        <v>0</v>
      </c>
      <c r="G8" s="207">
        <v>0</v>
      </c>
      <c r="H8" s="438">
        <v>0</v>
      </c>
      <c r="I8" s="463">
        <v>0</v>
      </c>
      <c r="J8" s="245">
        <v>0</v>
      </c>
    </row>
    <row r="9" spans="2:10" ht="13.5" customHeight="1">
      <c r="B9" s="426" t="s">
        <v>94</v>
      </c>
      <c r="C9" s="352">
        <v>3497</v>
      </c>
      <c r="D9" s="208">
        <v>4165</v>
      </c>
      <c r="E9" s="208">
        <v>4165</v>
      </c>
      <c r="F9" s="208">
        <v>3471</v>
      </c>
      <c r="G9" s="208">
        <v>2968</v>
      </c>
      <c r="H9" s="208">
        <v>2509</v>
      </c>
      <c r="I9" s="212">
        <v>1359</v>
      </c>
      <c r="J9" s="242">
        <v>1159</v>
      </c>
    </row>
    <row r="10" spans="2:10" ht="12.75">
      <c r="B10" s="426" t="s">
        <v>95</v>
      </c>
      <c r="C10" s="352">
        <v>17</v>
      </c>
      <c r="D10" s="208">
        <v>19</v>
      </c>
      <c r="E10" s="208">
        <v>19</v>
      </c>
      <c r="F10" s="208">
        <v>1</v>
      </c>
      <c r="G10" s="208">
        <v>0</v>
      </c>
      <c r="H10" s="209">
        <v>0</v>
      </c>
      <c r="I10" s="219"/>
      <c r="J10" s="239"/>
    </row>
    <row r="11" spans="2:15" ht="12.75">
      <c r="B11" s="426" t="s">
        <v>141</v>
      </c>
      <c r="C11" s="352">
        <v>21</v>
      </c>
      <c r="D11" s="208">
        <v>21</v>
      </c>
      <c r="E11" s="208">
        <v>21</v>
      </c>
      <c r="F11" s="208">
        <v>23</v>
      </c>
      <c r="G11" s="208">
        <v>43</v>
      </c>
      <c r="H11" s="209">
        <v>40</v>
      </c>
      <c r="I11" s="219"/>
      <c r="J11" s="219"/>
      <c r="K11" s="88"/>
      <c r="L11" s="164"/>
      <c r="M11" s="57"/>
      <c r="N11" s="57"/>
      <c r="O11" s="57"/>
    </row>
    <row r="12" spans="2:15" ht="13.5" customHeight="1">
      <c r="B12" s="426" t="s">
        <v>96</v>
      </c>
      <c r="C12" s="352">
        <v>63</v>
      </c>
      <c r="D12" s="208">
        <v>81</v>
      </c>
      <c r="E12" s="208">
        <v>84</v>
      </c>
      <c r="F12" s="208">
        <v>77</v>
      </c>
      <c r="G12" s="208">
        <v>98</v>
      </c>
      <c r="H12" s="209">
        <v>78</v>
      </c>
      <c r="I12" s="219"/>
      <c r="J12" s="219"/>
      <c r="K12" s="88"/>
      <c r="L12" s="164"/>
      <c r="M12" s="57"/>
      <c r="N12" s="57"/>
      <c r="O12" s="57"/>
    </row>
    <row r="13" spans="2:15" ht="12.75">
      <c r="B13" s="426" t="s">
        <v>166</v>
      </c>
      <c r="C13" s="352">
        <v>2102</v>
      </c>
      <c r="D13" s="208">
        <v>2293</v>
      </c>
      <c r="E13" s="208">
        <v>2293</v>
      </c>
      <c r="F13" s="208">
        <v>2071</v>
      </c>
      <c r="G13" s="208">
        <v>1722</v>
      </c>
      <c r="H13" s="208">
        <v>1618</v>
      </c>
      <c r="I13" s="212">
        <v>1618</v>
      </c>
      <c r="J13" s="212">
        <v>1723</v>
      </c>
      <c r="K13" s="88"/>
      <c r="L13" s="164"/>
      <c r="M13" s="57"/>
      <c r="N13" s="57"/>
      <c r="O13" s="57"/>
    </row>
    <row r="14" spans="2:15" ht="12.75">
      <c r="B14" s="401" t="s">
        <v>372</v>
      </c>
      <c r="C14" s="352">
        <v>127</v>
      </c>
      <c r="D14" s="208">
        <v>136</v>
      </c>
      <c r="E14" s="208">
        <v>136</v>
      </c>
      <c r="F14" s="208">
        <v>161</v>
      </c>
      <c r="G14" s="208">
        <v>215</v>
      </c>
      <c r="H14" s="209">
        <v>230</v>
      </c>
      <c r="I14" s="219">
        <v>229</v>
      </c>
      <c r="J14" s="219">
        <v>250</v>
      </c>
      <c r="K14" s="88"/>
      <c r="L14" s="164"/>
      <c r="M14" s="164"/>
      <c r="N14" s="164"/>
      <c r="O14" s="57"/>
    </row>
    <row r="15" spans="2:15" ht="12.75">
      <c r="B15" s="426" t="s">
        <v>215</v>
      </c>
      <c r="C15" s="352">
        <v>106</v>
      </c>
      <c r="D15" s="208">
        <v>107</v>
      </c>
      <c r="E15" s="208">
        <v>107</v>
      </c>
      <c r="F15" s="208">
        <v>117</v>
      </c>
      <c r="G15" s="208">
        <v>115</v>
      </c>
      <c r="H15" s="209">
        <v>115</v>
      </c>
      <c r="I15" s="219">
        <v>115</v>
      </c>
      <c r="J15" s="219">
        <v>115</v>
      </c>
      <c r="K15" s="103"/>
      <c r="L15" s="57"/>
      <c r="M15" s="57"/>
      <c r="N15" s="57"/>
      <c r="O15" s="57"/>
    </row>
    <row r="16" spans="2:15" ht="12.75">
      <c r="B16" s="401" t="s">
        <v>373</v>
      </c>
      <c r="C16" s="352">
        <v>133</v>
      </c>
      <c r="D16" s="208">
        <v>147</v>
      </c>
      <c r="E16" s="208">
        <v>147</v>
      </c>
      <c r="F16" s="208">
        <v>119</v>
      </c>
      <c r="G16" s="208">
        <v>99</v>
      </c>
      <c r="H16" s="209">
        <v>101</v>
      </c>
      <c r="I16" s="219">
        <v>101</v>
      </c>
      <c r="J16" s="219">
        <v>123</v>
      </c>
      <c r="K16" s="103"/>
      <c r="L16" s="57"/>
      <c r="M16" s="57"/>
      <c r="N16" s="57"/>
      <c r="O16" s="57"/>
    </row>
    <row r="17" spans="2:15" s="271" customFormat="1" ht="12.75">
      <c r="B17" s="88" t="s">
        <v>368</v>
      </c>
      <c r="C17" s="352">
        <v>121</v>
      </c>
      <c r="D17" s="208">
        <v>144</v>
      </c>
      <c r="E17" s="208">
        <v>144</v>
      </c>
      <c r="F17" s="208">
        <v>82</v>
      </c>
      <c r="G17" s="208">
        <v>44</v>
      </c>
      <c r="H17" s="219">
        <v>61</v>
      </c>
      <c r="I17" s="219">
        <v>61</v>
      </c>
      <c r="J17" s="219">
        <v>15</v>
      </c>
      <c r="K17" s="103"/>
      <c r="L17" s="57"/>
      <c r="M17" s="57"/>
      <c r="N17" s="57"/>
      <c r="O17" s="57"/>
    </row>
    <row r="18" spans="2:15" ht="12.75">
      <c r="B18" s="401" t="s">
        <v>369</v>
      </c>
      <c r="C18" s="352">
        <v>121</v>
      </c>
      <c r="D18" s="208">
        <v>182</v>
      </c>
      <c r="E18" s="208">
        <v>182</v>
      </c>
      <c r="F18" s="208">
        <v>253</v>
      </c>
      <c r="G18" s="208">
        <v>1276</v>
      </c>
      <c r="H18" s="209">
        <v>103</v>
      </c>
      <c r="I18" s="219">
        <v>103</v>
      </c>
      <c r="J18" s="219">
        <v>-172</v>
      </c>
      <c r="K18" s="103"/>
      <c r="L18" s="57"/>
      <c r="M18" s="57"/>
      <c r="N18" s="57"/>
      <c r="O18" s="57"/>
    </row>
    <row r="19" spans="2:15" ht="12.75">
      <c r="B19" s="401" t="s">
        <v>377</v>
      </c>
      <c r="C19" s="352">
        <v>0</v>
      </c>
      <c r="D19" s="208">
        <v>0</v>
      </c>
      <c r="E19" s="208">
        <v>0</v>
      </c>
      <c r="F19" s="208">
        <v>0</v>
      </c>
      <c r="G19" s="208">
        <v>0</v>
      </c>
      <c r="H19" s="209">
        <v>0</v>
      </c>
      <c r="I19" s="219"/>
      <c r="J19" s="219"/>
      <c r="K19" s="103"/>
      <c r="L19" s="57"/>
      <c r="M19" s="57"/>
      <c r="N19" s="57"/>
      <c r="O19" s="164"/>
    </row>
    <row r="20" spans="2:15" ht="12.75">
      <c r="B20" s="88" t="s">
        <v>374</v>
      </c>
      <c r="C20" s="213">
        <v>29</v>
      </c>
      <c r="D20" s="212">
        <v>23</v>
      </c>
      <c r="E20" s="212">
        <v>23</v>
      </c>
      <c r="F20" s="212">
        <v>62</v>
      </c>
      <c r="G20" s="212">
        <v>57</v>
      </c>
      <c r="H20" s="209">
        <v>45</v>
      </c>
      <c r="I20" s="219"/>
      <c r="J20" s="219"/>
      <c r="K20" s="103"/>
      <c r="L20" s="57"/>
      <c r="M20" s="57"/>
      <c r="N20" s="164"/>
      <c r="O20" s="57"/>
    </row>
    <row r="21" spans="2:18" ht="12.75">
      <c r="B21" s="88" t="s">
        <v>370</v>
      </c>
      <c r="C21" s="352">
        <v>-48</v>
      </c>
      <c r="D21" s="208">
        <v>91</v>
      </c>
      <c r="E21" s="208">
        <v>91</v>
      </c>
      <c r="F21" s="208">
        <v>138</v>
      </c>
      <c r="G21" s="208">
        <v>22</v>
      </c>
      <c r="H21" s="209">
        <v>0</v>
      </c>
      <c r="I21" s="219"/>
      <c r="J21" s="219"/>
      <c r="K21" s="103"/>
      <c r="L21" s="57"/>
      <c r="M21" s="57"/>
      <c r="N21" s="57"/>
      <c r="O21" s="57"/>
      <c r="P21" s="57"/>
      <c r="Q21" s="57"/>
      <c r="R21" s="57"/>
    </row>
    <row r="22" spans="2:18" ht="12.75">
      <c r="B22" s="88" t="s">
        <v>371</v>
      </c>
      <c r="C22" s="352">
        <v>112</v>
      </c>
      <c r="D22" s="208">
        <v>121</v>
      </c>
      <c r="E22" s="208">
        <v>121</v>
      </c>
      <c r="F22" s="208">
        <v>107</v>
      </c>
      <c r="G22" s="208">
        <v>94</v>
      </c>
      <c r="H22" s="209">
        <v>99</v>
      </c>
      <c r="I22" s="219">
        <v>99</v>
      </c>
      <c r="J22" s="219">
        <v>114</v>
      </c>
      <c r="K22" s="103"/>
      <c r="L22" s="57"/>
      <c r="M22" s="57"/>
      <c r="N22" s="57"/>
      <c r="O22" s="57"/>
      <c r="P22" s="57"/>
      <c r="Q22" s="57"/>
      <c r="R22" s="57"/>
    </row>
    <row r="23" spans="2:18" ht="12.75">
      <c r="B23" s="88" t="s">
        <v>378</v>
      </c>
      <c r="C23" s="352">
        <v>4</v>
      </c>
      <c r="D23" s="208">
        <v>1</v>
      </c>
      <c r="E23" s="208">
        <v>0</v>
      </c>
      <c r="F23" s="208">
        <v>0</v>
      </c>
      <c r="G23" s="208">
        <v>0</v>
      </c>
      <c r="H23" s="209">
        <v>0</v>
      </c>
      <c r="I23" s="219"/>
      <c r="J23" s="219"/>
      <c r="K23" s="103"/>
      <c r="L23" s="57"/>
      <c r="M23" s="164"/>
      <c r="N23" s="164"/>
      <c r="O23" s="57"/>
      <c r="P23" s="57"/>
      <c r="Q23" s="164"/>
      <c r="R23" s="164"/>
    </row>
    <row r="24" spans="2:18" ht="12.75">
      <c r="B24" s="426" t="s">
        <v>106</v>
      </c>
      <c r="C24" s="352">
        <v>277</v>
      </c>
      <c r="D24" s="208">
        <v>261</v>
      </c>
      <c r="E24" s="208">
        <v>262</v>
      </c>
      <c r="F24" s="208">
        <v>209</v>
      </c>
      <c r="G24" s="208">
        <v>238</v>
      </c>
      <c r="H24" s="209">
        <v>203</v>
      </c>
      <c r="I24" s="219"/>
      <c r="J24" s="219"/>
      <c r="K24" s="103"/>
      <c r="L24" s="164"/>
      <c r="M24" s="57"/>
      <c r="N24" s="57"/>
      <c r="O24" s="57"/>
      <c r="P24" s="164"/>
      <c r="Q24" s="57"/>
      <c r="R24" s="57"/>
    </row>
    <row r="25" spans="2:18" ht="12.75">
      <c r="B25" s="401" t="s">
        <v>663</v>
      </c>
      <c r="C25" s="352"/>
      <c r="D25" s="208"/>
      <c r="E25" s="208"/>
      <c r="F25" s="208"/>
      <c r="G25" s="208"/>
      <c r="H25" s="209"/>
      <c r="I25" s="212">
        <f>64+21+17+105+153</f>
        <v>360</v>
      </c>
      <c r="J25" s="212">
        <f>98+22+21+121+49</f>
        <v>311</v>
      </c>
      <c r="K25" s="84"/>
      <c r="L25" s="25"/>
      <c r="M25" s="40"/>
      <c r="N25" s="57"/>
      <c r="O25" s="57"/>
      <c r="P25" s="25"/>
      <c r="Q25" s="40"/>
      <c r="R25" s="57"/>
    </row>
    <row r="26" spans="2:18" ht="15" customHeight="1">
      <c r="B26" s="353" t="s">
        <v>107</v>
      </c>
      <c r="C26" s="353">
        <f aca="true" t="shared" si="0" ref="C26:H26">+SUM(C7:C25)</f>
        <v>11641</v>
      </c>
      <c r="D26" s="119">
        <f t="shared" si="0"/>
        <v>11545</v>
      </c>
      <c r="E26" s="119">
        <f t="shared" si="0"/>
        <v>11545</v>
      </c>
      <c r="F26" s="119">
        <f t="shared" si="0"/>
        <v>10624</v>
      </c>
      <c r="G26" s="119">
        <f t="shared" si="0"/>
        <v>10318</v>
      </c>
      <c r="H26" s="119">
        <f t="shared" si="0"/>
        <v>8969</v>
      </c>
      <c r="I26" s="119">
        <f>+SUM(I7:I25)</f>
        <v>7812</v>
      </c>
      <c r="J26" s="120">
        <f>+SUM(J7:J25)</f>
        <v>8183</v>
      </c>
      <c r="L26" s="57"/>
      <c r="M26" s="57"/>
      <c r="N26" s="57"/>
      <c r="O26" s="57"/>
      <c r="P26" s="57"/>
      <c r="Q26" s="57"/>
      <c r="R26" s="57"/>
    </row>
    <row r="27" spans="2:18" ht="12.75">
      <c r="B27" s="88" t="s">
        <v>589</v>
      </c>
      <c r="C27" s="28">
        <f>-'Quarterly Data'!J15</f>
        <v>223</v>
      </c>
      <c r="D27" s="28"/>
      <c r="E27" s="28">
        <f>-'Quarterly Data'!Z15</f>
        <v>221</v>
      </c>
      <c r="F27" s="28">
        <f>-'Quarterly Data'!AH15</f>
        <v>232</v>
      </c>
      <c r="G27" s="28">
        <f>-'Quarterly Data'!AP15</f>
        <v>295</v>
      </c>
      <c r="H27" s="28">
        <f>-'Quarterly Data'!AX15</f>
        <v>311</v>
      </c>
      <c r="I27" s="28">
        <f>-'Quarterly Data'!BF15</f>
        <v>311</v>
      </c>
      <c r="J27" s="461">
        <f>-'Quarterly Data'!BN15</f>
        <v>337</v>
      </c>
      <c r="L27" s="164"/>
      <c r="M27" s="57"/>
      <c r="N27" s="57"/>
      <c r="O27" s="57"/>
      <c r="P27" s="164"/>
      <c r="Q27" s="57"/>
      <c r="R27" s="57"/>
    </row>
    <row r="28" spans="2:18" ht="12.75">
      <c r="B28" s="353" t="s">
        <v>590</v>
      </c>
      <c r="C28" s="353">
        <f>SUM(C26:C27)</f>
        <v>11864</v>
      </c>
      <c r="D28" s="119">
        <f aca="true" t="shared" si="1" ref="D28:J28">SUM(D26:D27)</f>
        <v>11545</v>
      </c>
      <c r="E28" s="119">
        <f t="shared" si="1"/>
        <v>11766</v>
      </c>
      <c r="F28" s="119">
        <f t="shared" si="1"/>
        <v>10856</v>
      </c>
      <c r="G28" s="119">
        <f t="shared" si="1"/>
        <v>10613</v>
      </c>
      <c r="H28" s="119">
        <f t="shared" si="1"/>
        <v>9280</v>
      </c>
      <c r="I28" s="119">
        <f t="shared" si="1"/>
        <v>8123</v>
      </c>
      <c r="J28" s="120">
        <f t="shared" si="1"/>
        <v>8520</v>
      </c>
      <c r="L28" s="164"/>
      <c r="M28" s="164"/>
      <c r="N28" s="164"/>
      <c r="O28" s="57"/>
      <c r="P28" s="164"/>
      <c r="Q28" s="164"/>
      <c r="R28" s="164"/>
    </row>
    <row r="29" spans="11:18" ht="12.75">
      <c r="K29" s="3"/>
      <c r="L29" s="164"/>
      <c r="M29" s="164"/>
      <c r="N29" s="57"/>
      <c r="O29" s="57"/>
      <c r="P29" s="164"/>
      <c r="Q29" s="164"/>
      <c r="R29" s="57"/>
    </row>
    <row r="30" spans="3:18" ht="12.75">
      <c r="C30" s="28"/>
      <c r="D30" s="28"/>
      <c r="E30" s="28"/>
      <c r="F30" s="28"/>
      <c r="L30" s="164"/>
      <c r="M30" s="164"/>
      <c r="N30" s="57"/>
      <c r="O30" s="57"/>
      <c r="P30" s="164"/>
      <c r="Q30" s="164"/>
      <c r="R30" s="57"/>
    </row>
    <row r="31" spans="2:18" ht="12.75">
      <c r="B31" s="876" t="s">
        <v>665</v>
      </c>
      <c r="C31" s="871"/>
      <c r="D31" s="872"/>
      <c r="E31" s="872"/>
      <c r="F31" s="872"/>
      <c r="G31" s="872"/>
      <c r="H31" s="872"/>
      <c r="I31" s="872"/>
      <c r="J31" s="873"/>
      <c r="L31" s="164"/>
      <c r="M31" s="57"/>
      <c r="N31" s="57"/>
      <c r="O31" s="57"/>
      <c r="P31" s="164"/>
      <c r="Q31" s="57"/>
      <c r="R31" s="57"/>
    </row>
    <row r="32" spans="2:18" ht="12.75">
      <c r="B32" s="877"/>
      <c r="C32" s="393" t="str">
        <f aca="true" t="shared" si="2" ref="C32:H32">C5</f>
        <v>2013 Restated</v>
      </c>
      <c r="D32" s="321">
        <f t="shared" si="2"/>
        <v>2014</v>
      </c>
      <c r="E32" s="321" t="str">
        <f t="shared" si="2"/>
        <v>2014 Restated</v>
      </c>
      <c r="F32" s="321">
        <f t="shared" si="2"/>
        <v>2015</v>
      </c>
      <c r="G32" s="321">
        <f t="shared" si="2"/>
        <v>2016</v>
      </c>
      <c r="H32" s="321">
        <f t="shared" si="2"/>
        <v>2017</v>
      </c>
      <c r="I32" s="462" t="s">
        <v>686</v>
      </c>
      <c r="J32" s="453" t="s">
        <v>687</v>
      </c>
      <c r="K32" s="28"/>
      <c r="L32" s="164"/>
      <c r="M32" s="164"/>
      <c r="N32" s="164"/>
      <c r="O32" s="40"/>
      <c r="P32" s="164"/>
      <c r="Q32" s="164"/>
      <c r="R32" s="164"/>
    </row>
    <row r="33" spans="2:18" ht="12.75">
      <c r="B33" s="441"/>
      <c r="C33" s="442"/>
      <c r="D33" s="118"/>
      <c r="E33" s="118"/>
      <c r="F33" s="118"/>
      <c r="G33" s="101"/>
      <c r="H33" s="118"/>
      <c r="I33" s="118"/>
      <c r="J33" s="461"/>
      <c r="K33" s="28"/>
      <c r="L33" s="57"/>
      <c r="M33" s="57"/>
      <c r="N33" s="40"/>
      <c r="O33" s="40"/>
      <c r="P33" s="57"/>
      <c r="Q33" s="57"/>
      <c r="R33" s="40"/>
    </row>
    <row r="34" spans="2:18" ht="12.75">
      <c r="B34" s="88" t="s">
        <v>558</v>
      </c>
      <c r="C34" s="352">
        <v>6562</v>
      </c>
      <c r="D34" s="208">
        <v>7233</v>
      </c>
      <c r="E34" s="208">
        <v>7233</v>
      </c>
      <c r="F34" s="208">
        <v>6146</v>
      </c>
      <c r="G34" s="208">
        <v>5259</v>
      </c>
      <c r="H34" s="208">
        <v>4747</v>
      </c>
      <c r="I34" s="212">
        <f>3068+353+122</f>
        <v>3543</v>
      </c>
      <c r="J34" s="242">
        <f>2863+400+51</f>
        <v>3314</v>
      </c>
      <c r="L34" s="57"/>
      <c r="M34" s="57"/>
      <c r="N34" s="57"/>
      <c r="O34" s="57"/>
      <c r="P34" s="57"/>
      <c r="Q34" s="57"/>
      <c r="R34" s="57"/>
    </row>
    <row r="35" spans="2:18" ht="12.75">
      <c r="B35" s="88" t="s">
        <v>559</v>
      </c>
      <c r="C35" s="352">
        <v>5876</v>
      </c>
      <c r="D35" s="208">
        <v>4935</v>
      </c>
      <c r="E35" s="208">
        <v>4935</v>
      </c>
      <c r="F35" s="208">
        <v>5168</v>
      </c>
      <c r="G35" s="208">
        <v>5697</v>
      </c>
      <c r="H35" s="208">
        <v>4962</v>
      </c>
      <c r="I35" s="212">
        <f>4741+181+25</f>
        <v>4947</v>
      </c>
      <c r="J35" s="242">
        <f>5273+200+43</f>
        <v>5516</v>
      </c>
      <c r="K35" s="3"/>
      <c r="L35" s="164"/>
      <c r="M35" s="57"/>
      <c r="N35" s="57"/>
      <c r="O35" s="57"/>
      <c r="P35" s="57"/>
      <c r="Q35" s="57"/>
      <c r="R35" s="57"/>
    </row>
    <row r="36" spans="2:18" ht="12.75">
      <c r="B36" s="88" t="s">
        <v>560</v>
      </c>
      <c r="C36" s="352">
        <v>121</v>
      </c>
      <c r="D36" s="208">
        <v>135</v>
      </c>
      <c r="E36" s="208">
        <v>135</v>
      </c>
      <c r="F36" s="208">
        <v>97</v>
      </c>
      <c r="G36" s="208">
        <v>102</v>
      </c>
      <c r="H36" s="209">
        <v>104</v>
      </c>
      <c r="I36" s="212">
        <f>93+12</f>
        <v>105</v>
      </c>
      <c r="J36" s="242">
        <f>7+109+17</f>
        <v>133</v>
      </c>
      <c r="K36" s="3"/>
      <c r="L36" s="164"/>
      <c r="M36" s="57"/>
      <c r="N36" s="57"/>
      <c r="O36" s="57"/>
      <c r="P36" s="57"/>
      <c r="Q36" s="57"/>
      <c r="R36" s="57"/>
    </row>
    <row r="37" spans="2:12" ht="12.75">
      <c r="B37" s="88" t="s">
        <v>66</v>
      </c>
      <c r="C37" s="352">
        <v>-918</v>
      </c>
      <c r="D37" s="208">
        <v>-758</v>
      </c>
      <c r="E37" s="208">
        <v>-758</v>
      </c>
      <c r="F37" s="208">
        <v>-787</v>
      </c>
      <c r="G37" s="208">
        <v>-740</v>
      </c>
      <c r="H37" s="209">
        <v>-844</v>
      </c>
      <c r="I37" s="219">
        <f>-783-55-6</f>
        <v>-844</v>
      </c>
      <c r="J37" s="239">
        <f>-724-58-13</f>
        <v>-795</v>
      </c>
      <c r="K37" s="271"/>
      <c r="L37" s="271"/>
    </row>
    <row r="38" spans="2:11" ht="14.25">
      <c r="B38" s="366" t="s">
        <v>688</v>
      </c>
      <c r="C38" s="353">
        <f aca="true" t="shared" si="3" ref="C38:H38">SUM(C34:C37)</f>
        <v>11641</v>
      </c>
      <c r="D38" s="119">
        <f t="shared" si="3"/>
        <v>11545</v>
      </c>
      <c r="E38" s="119">
        <f t="shared" si="3"/>
        <v>11545</v>
      </c>
      <c r="F38" s="119">
        <f t="shared" si="3"/>
        <v>10624</v>
      </c>
      <c r="G38" s="119">
        <f t="shared" si="3"/>
        <v>10318</v>
      </c>
      <c r="H38" s="485">
        <f t="shared" si="3"/>
        <v>8969</v>
      </c>
      <c r="I38" s="485">
        <f>SUM(I34:I37)</f>
        <v>7751</v>
      </c>
      <c r="J38" s="486">
        <f>SUM(J34:J37)</f>
        <v>8168</v>
      </c>
      <c r="K38" s="28"/>
    </row>
    <row r="39" spans="9:11" s="271" customFormat="1" ht="12.75">
      <c r="I39" s="29"/>
      <c r="J39" s="29"/>
      <c r="K39" s="3"/>
    </row>
    <row r="40" ht="12.75">
      <c r="B40" s="357" t="s">
        <v>584</v>
      </c>
    </row>
    <row r="41" s="271" customFormat="1" ht="12.75">
      <c r="B41" s="164" t="s">
        <v>664</v>
      </c>
    </row>
    <row r="42" s="271" customFormat="1" ht="12.75">
      <c r="B42" s="164" t="s">
        <v>689</v>
      </c>
    </row>
  </sheetData>
  <sheetProtection/>
  <mergeCells count="4">
    <mergeCell ref="B4:B5"/>
    <mergeCell ref="B31:B32"/>
    <mergeCell ref="C4:J4"/>
    <mergeCell ref="C31:J31"/>
  </mergeCells>
  <printOptions/>
  <pageMargins left="0.7480314960629921" right="0.7480314960629921" top="0.984251968503937" bottom="0.984251968503937" header="0.5118110236220472" footer="0.5118110236220472"/>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BY511"/>
  <sheetViews>
    <sheetView tabSelected="1" zoomScaleSheetLayoutView="40" zoomScalePageLayoutView="0" workbookViewId="0" topLeftCell="A1">
      <pane xSplit="2" ySplit="3" topLeftCell="AY19" activePane="bottomRight" state="frozen"/>
      <selection pane="topLeft" activeCell="A1" sqref="A1"/>
      <selection pane="topRight" activeCell="C1" sqref="C1"/>
      <selection pane="bottomLeft" activeCell="A4" sqref="A4"/>
      <selection pane="bottomRight" activeCell="CA43" sqref="CA43"/>
    </sheetView>
  </sheetViews>
  <sheetFormatPr defaultColWidth="9.140625" defaultRowHeight="12.75" outlineLevelCol="2"/>
  <cols>
    <col min="1" max="1" width="2.140625" style="57" customWidth="1"/>
    <col min="2" max="2" width="48.7109375" style="57" customWidth="1"/>
    <col min="3" max="3" width="10.7109375" style="57" customWidth="1"/>
    <col min="4" max="7" width="10.7109375" style="57" hidden="1" customWidth="1" outlineLevel="1"/>
    <col min="8" max="8" width="10.57421875" style="57" hidden="1" customWidth="1" outlineLevel="1"/>
    <col min="9" max="9" width="8.7109375" style="101" hidden="1" customWidth="1" outlineLevel="1"/>
    <col min="10" max="11" width="10.7109375" style="57" hidden="1" customWidth="1" outlineLevel="1"/>
    <col min="12" max="16" width="10.7109375" style="57" hidden="1" customWidth="1" outlineLevel="2"/>
    <col min="17" max="17" width="8.7109375" style="57" hidden="1" customWidth="1" outlineLevel="2"/>
    <col min="18" max="19" width="9.7109375" style="57" hidden="1" customWidth="1" outlineLevel="2"/>
    <col min="20" max="24" width="9.7109375" style="57" hidden="1" customWidth="1" outlineLevel="1"/>
    <col min="25" max="25" width="8.7109375" style="57" hidden="1" customWidth="1" outlineLevel="1"/>
    <col min="26" max="26" width="10.00390625" style="57" hidden="1" customWidth="1" outlineLevel="1"/>
    <col min="27" max="32" width="9.140625" style="57" hidden="1" customWidth="1" outlineLevel="1"/>
    <col min="33" max="33" width="8.7109375" style="57" hidden="1" customWidth="1" outlineLevel="1"/>
    <col min="34" max="35" width="9.28125" style="57" hidden="1" customWidth="1" outlineLevel="1"/>
    <col min="36" max="36" width="9.421875" style="57" hidden="1" customWidth="1" outlineLevel="1"/>
    <col min="37" max="37" width="9.28125" style="57" hidden="1" customWidth="1" outlineLevel="1"/>
    <col min="38" max="38" width="9.8515625" style="57" hidden="1" customWidth="1" outlineLevel="1"/>
    <col min="39" max="39" width="9.28125" style="57" hidden="1" customWidth="1" outlineLevel="1"/>
    <col min="40" max="40" width="9.7109375" style="57" hidden="1" customWidth="1" outlineLevel="1"/>
    <col min="41" max="41" width="9.421875" style="57" hidden="1" customWidth="1" outlineLevel="1"/>
    <col min="42" max="42" width="11.00390625" style="57" hidden="1" customWidth="1" outlineLevel="1"/>
    <col min="43" max="46" width="9.28125" style="57" hidden="1" customWidth="1" outlineLevel="1"/>
    <col min="47" max="47" width="9.421875" style="57" hidden="1" customWidth="1" outlineLevel="1"/>
    <col min="48" max="50" width="9.28125" style="57" hidden="1" customWidth="1" outlineLevel="1"/>
    <col min="51" max="51" width="9.28125" style="57" customWidth="1" collapsed="1"/>
    <col min="52" max="54" width="9.28125" style="57" customWidth="1"/>
    <col min="55" max="55" width="9.421875" style="57" customWidth="1"/>
    <col min="56" max="58" width="9.28125" style="57" customWidth="1"/>
    <col min="59" max="59" width="9.28125" style="57" bestFit="1" customWidth="1"/>
    <col min="60" max="61" width="11.8515625" style="57" customWidth="1"/>
    <col min="62" max="62" width="9.421875" style="57" customWidth="1"/>
    <col min="63" max="63" width="9.421875" style="57" bestFit="1" customWidth="1"/>
    <col min="64" max="67" width="9.28125" style="57" bestFit="1" customWidth="1"/>
    <col min="68" max="68" width="9.28125" style="57" customWidth="1"/>
    <col min="69" max="69" width="9.28125" style="57" hidden="1" customWidth="1" outlineLevel="1"/>
    <col min="70" max="70" width="8.00390625" style="57" hidden="1" customWidth="1" outlineLevel="1"/>
    <col min="71" max="74" width="0" style="57" hidden="1" customWidth="1" outlineLevel="1"/>
    <col min="75" max="75" width="9.140625" style="57" customWidth="1" collapsed="1"/>
    <col min="76" max="77" width="9.140625" style="57" customWidth="1"/>
    <col min="78" max="78" width="3.140625" style="57" customWidth="1"/>
    <col min="79" max="85" width="9.140625" style="57" customWidth="1"/>
    <col min="86" max="86" width="3.140625" style="57" customWidth="1"/>
    <col min="87" max="88" width="9.140625" style="57" customWidth="1"/>
    <col min="89" max="89" width="10.57421875" style="57" bestFit="1" customWidth="1"/>
    <col min="90" max="16384" width="9.140625" style="57" customWidth="1"/>
  </cols>
  <sheetData>
    <row r="1" s="47" customFormat="1" ht="12.75">
      <c r="I1" s="69"/>
    </row>
    <row r="2" spans="1:63" s="49" customFormat="1" ht="15.75">
      <c r="A2" s="48"/>
      <c r="B2" s="123" t="s">
        <v>113</v>
      </c>
      <c r="D2" s="50"/>
      <c r="I2" s="90"/>
      <c r="AU2" s="169"/>
      <c r="BC2" s="169"/>
      <c r="BK2" s="169"/>
    </row>
    <row r="3" spans="4:77" s="49" customFormat="1" ht="12.75">
      <c r="D3" s="878" t="s">
        <v>241</v>
      </c>
      <c r="E3" s="879"/>
      <c r="F3" s="879"/>
      <c r="G3" s="879"/>
      <c r="H3" s="879"/>
      <c r="I3" s="879"/>
      <c r="J3" s="879"/>
      <c r="T3" s="878" t="s">
        <v>241</v>
      </c>
      <c r="U3" s="879"/>
      <c r="V3" s="879"/>
      <c r="W3" s="879"/>
      <c r="X3" s="879"/>
      <c r="Y3" s="879"/>
      <c r="Z3" s="879"/>
      <c r="AU3" s="255"/>
      <c r="AV3" s="255"/>
      <c r="AW3" s="255"/>
      <c r="AX3" s="255"/>
      <c r="AZ3" s="880" t="s">
        <v>577</v>
      </c>
      <c r="BA3" s="881"/>
      <c r="BB3" s="881"/>
      <c r="BC3" s="881"/>
      <c r="BD3" s="881"/>
      <c r="BE3" s="881"/>
      <c r="BF3" s="882"/>
      <c r="BG3" s="255"/>
      <c r="BH3" s="883" t="s">
        <v>580</v>
      </c>
      <c r="BI3" s="881"/>
      <c r="BJ3" s="881"/>
      <c r="BK3" s="881"/>
      <c r="BL3" s="881"/>
      <c r="BM3" s="881"/>
      <c r="BN3" s="882"/>
      <c r="BP3" s="853" t="s">
        <v>702</v>
      </c>
      <c r="BQ3" s="895"/>
      <c r="BR3" s="895"/>
      <c r="BS3" s="895"/>
      <c r="BT3" s="895"/>
      <c r="BU3" s="895"/>
      <c r="BV3" s="896"/>
      <c r="BW3" s="255"/>
      <c r="BX3" s="255"/>
      <c r="BY3" s="255"/>
    </row>
    <row r="4" spans="2:74" s="51" customFormat="1" ht="17.25" customHeight="1">
      <c r="B4" s="129" t="s">
        <v>206</v>
      </c>
      <c r="D4" s="322" t="s">
        <v>220</v>
      </c>
      <c r="E4" s="323" t="s">
        <v>221</v>
      </c>
      <c r="F4" s="323" t="s">
        <v>222</v>
      </c>
      <c r="G4" s="323" t="s">
        <v>223</v>
      </c>
      <c r="H4" s="323" t="s">
        <v>224</v>
      </c>
      <c r="I4" s="323" t="s">
        <v>225</v>
      </c>
      <c r="J4" s="324" t="s">
        <v>226</v>
      </c>
      <c r="L4" s="322" t="s">
        <v>234</v>
      </c>
      <c r="M4" s="323" t="s">
        <v>235</v>
      </c>
      <c r="N4" s="323" t="s">
        <v>236</v>
      </c>
      <c r="O4" s="323" t="s">
        <v>237</v>
      </c>
      <c r="P4" s="323" t="s">
        <v>238</v>
      </c>
      <c r="Q4" s="323" t="s">
        <v>239</v>
      </c>
      <c r="R4" s="324" t="s">
        <v>240</v>
      </c>
      <c r="T4" s="322" t="s">
        <v>234</v>
      </c>
      <c r="U4" s="323" t="s">
        <v>235</v>
      </c>
      <c r="V4" s="323" t="s">
        <v>236</v>
      </c>
      <c r="W4" s="323" t="s">
        <v>237</v>
      </c>
      <c r="X4" s="323" t="s">
        <v>238</v>
      </c>
      <c r="Y4" s="323" t="s">
        <v>239</v>
      </c>
      <c r="Z4" s="324" t="s">
        <v>240</v>
      </c>
      <c r="AB4" s="322" t="s">
        <v>268</v>
      </c>
      <c r="AC4" s="323" t="s">
        <v>269</v>
      </c>
      <c r="AD4" s="323" t="s">
        <v>270</v>
      </c>
      <c r="AE4" s="323" t="s">
        <v>271</v>
      </c>
      <c r="AF4" s="323" t="s">
        <v>272</v>
      </c>
      <c r="AG4" s="323" t="s">
        <v>273</v>
      </c>
      <c r="AH4" s="324" t="s">
        <v>274</v>
      </c>
      <c r="AJ4" s="322" t="s">
        <v>279</v>
      </c>
      <c r="AK4" s="323" t="s">
        <v>280</v>
      </c>
      <c r="AL4" s="323" t="s">
        <v>367</v>
      </c>
      <c r="AM4" s="323" t="s">
        <v>282</v>
      </c>
      <c r="AN4" s="323" t="s">
        <v>283</v>
      </c>
      <c r="AO4" s="323" t="s">
        <v>284</v>
      </c>
      <c r="AP4" s="324" t="s">
        <v>355</v>
      </c>
      <c r="AR4" s="444" t="s">
        <v>506</v>
      </c>
      <c r="AS4" s="445" t="s">
        <v>508</v>
      </c>
      <c r="AT4" s="445" t="s">
        <v>561</v>
      </c>
      <c r="AU4" s="445" t="s">
        <v>509</v>
      </c>
      <c r="AV4" s="445" t="s">
        <v>510</v>
      </c>
      <c r="AW4" s="445" t="s">
        <v>511</v>
      </c>
      <c r="AX4" s="446" t="s">
        <v>533</v>
      </c>
      <c r="AZ4" s="848" t="s">
        <v>506</v>
      </c>
      <c r="BA4" s="360" t="s">
        <v>508</v>
      </c>
      <c r="BB4" s="360" t="s">
        <v>561</v>
      </c>
      <c r="BC4" s="360" t="s">
        <v>509</v>
      </c>
      <c r="BD4" s="360" t="s">
        <v>510</v>
      </c>
      <c r="BE4" s="360" t="s">
        <v>511</v>
      </c>
      <c r="BF4" s="443" t="s">
        <v>533</v>
      </c>
      <c r="BH4" s="359" t="s">
        <v>585</v>
      </c>
      <c r="BI4" s="360" t="s">
        <v>586</v>
      </c>
      <c r="BJ4" s="360" t="s">
        <v>562</v>
      </c>
      <c r="BK4" s="360" t="s">
        <v>563</v>
      </c>
      <c r="BL4" s="360" t="s">
        <v>564</v>
      </c>
      <c r="BM4" s="360" t="s">
        <v>565</v>
      </c>
      <c r="BN4" s="443" t="s">
        <v>566</v>
      </c>
      <c r="BP4" s="848" t="s">
        <v>692</v>
      </c>
      <c r="BQ4" s="849" t="s">
        <v>693</v>
      </c>
      <c r="BR4" s="849" t="s">
        <v>694</v>
      </c>
      <c r="BS4" s="849" t="s">
        <v>695</v>
      </c>
      <c r="BT4" s="849" t="s">
        <v>696</v>
      </c>
      <c r="BU4" s="849" t="s">
        <v>697</v>
      </c>
      <c r="BV4" s="443" t="s">
        <v>698</v>
      </c>
    </row>
    <row r="5" spans="2:74" s="51" customFormat="1" ht="15" customHeight="1">
      <c r="B5" s="130"/>
      <c r="D5" s="140"/>
      <c r="J5" s="141"/>
      <c r="L5" s="140"/>
      <c r="R5" s="141"/>
      <c r="T5" s="140"/>
      <c r="Z5" s="141"/>
      <c r="AB5" s="140"/>
      <c r="AH5" s="141"/>
      <c r="AJ5" s="178"/>
      <c r="AK5" s="179"/>
      <c r="AL5" s="179"/>
      <c r="AM5" s="179"/>
      <c r="AN5" s="179"/>
      <c r="AO5" s="179"/>
      <c r="AP5" s="180"/>
      <c r="AR5" s="178"/>
      <c r="AS5" s="179"/>
      <c r="AT5" s="179"/>
      <c r="AU5" s="179"/>
      <c r="AV5" s="179"/>
      <c r="AW5" s="179"/>
      <c r="AX5" s="180"/>
      <c r="AZ5" s="140"/>
      <c r="BF5" s="141"/>
      <c r="BH5" s="140"/>
      <c r="BN5" s="141"/>
      <c r="BP5" s="140"/>
      <c r="BV5" s="141"/>
    </row>
    <row r="6" spans="2:74" s="51" customFormat="1" ht="13.5" customHeight="1">
      <c r="B6" s="131" t="s">
        <v>114</v>
      </c>
      <c r="D6" s="211">
        <v>1756</v>
      </c>
      <c r="E6" s="52">
        <f>+F6-D6</f>
        <v>1787</v>
      </c>
      <c r="F6" s="210">
        <v>3543</v>
      </c>
      <c r="G6" s="52">
        <f>+H6-F6</f>
        <v>1737</v>
      </c>
      <c r="H6" s="210">
        <v>5280</v>
      </c>
      <c r="I6" s="52">
        <f>+J6-H6</f>
        <v>1882</v>
      </c>
      <c r="J6" s="237">
        <v>7162</v>
      </c>
      <c r="L6" s="211">
        <v>2245</v>
      </c>
      <c r="M6" s="52">
        <f>+N6-L6</f>
        <v>1766</v>
      </c>
      <c r="N6" s="210">
        <v>4011</v>
      </c>
      <c r="O6" s="52">
        <f>+P6-N6</f>
        <v>1889</v>
      </c>
      <c r="P6" s="210">
        <v>5900</v>
      </c>
      <c r="Q6" s="52">
        <f>+R6-P6</f>
        <v>1959</v>
      </c>
      <c r="R6" s="237">
        <v>7859</v>
      </c>
      <c r="T6" s="211">
        <v>2115</v>
      </c>
      <c r="U6" s="52">
        <f>+V6-T6</f>
        <v>1754</v>
      </c>
      <c r="V6" s="210">
        <v>3869</v>
      </c>
      <c r="W6" s="52">
        <f>+X6-V6</f>
        <v>1912</v>
      </c>
      <c r="X6" s="210">
        <v>5781</v>
      </c>
      <c r="Y6" s="52">
        <f>+Z6-X6</f>
        <v>2078</v>
      </c>
      <c r="Z6" s="237">
        <v>7859</v>
      </c>
      <c r="AB6" s="211">
        <v>1703</v>
      </c>
      <c r="AC6" s="52">
        <f>+AD6-AB6</f>
        <v>1581</v>
      </c>
      <c r="AD6" s="210">
        <v>3284</v>
      </c>
      <c r="AE6" s="52">
        <f>+AF6-AD6</f>
        <v>1713</v>
      </c>
      <c r="AF6" s="210">
        <v>4997</v>
      </c>
      <c r="AG6" s="52">
        <f>+AH6-AF6</f>
        <v>1532</v>
      </c>
      <c r="AH6" s="237">
        <v>6529</v>
      </c>
      <c r="AJ6" s="211">
        <v>1361</v>
      </c>
      <c r="AK6" s="52">
        <f>+AL6-AJ6</f>
        <v>1289</v>
      </c>
      <c r="AL6" s="210">
        <v>2650</v>
      </c>
      <c r="AM6" s="52">
        <f>+AN6-AL6</f>
        <v>1413</v>
      </c>
      <c r="AN6" s="210">
        <v>4063</v>
      </c>
      <c r="AO6" s="52">
        <f>+AP6-AN6</f>
        <v>1619</v>
      </c>
      <c r="AP6" s="237">
        <v>5682</v>
      </c>
      <c r="AR6" s="211">
        <v>1387</v>
      </c>
      <c r="AS6" s="52">
        <f>+AT6-AR6</f>
        <v>1157</v>
      </c>
      <c r="AT6" s="210">
        <v>2544</v>
      </c>
      <c r="AU6" s="52">
        <f>+AV6-AT6</f>
        <v>1317</v>
      </c>
      <c r="AV6" s="210">
        <v>3861</v>
      </c>
      <c r="AW6" s="52">
        <f aca="true" t="shared" si="0" ref="AW6:AW12">+AX6-AV6</f>
        <v>1266</v>
      </c>
      <c r="AX6" s="237">
        <v>5127</v>
      </c>
      <c r="AZ6" s="211">
        <v>1295</v>
      </c>
      <c r="BA6" s="52">
        <f>+BB6-AZ6</f>
        <v>658</v>
      </c>
      <c r="BB6" s="210">
        <v>1953</v>
      </c>
      <c r="BC6" s="52">
        <f>+BD6-BB6</f>
        <v>1046</v>
      </c>
      <c r="BD6" s="210">
        <v>2999</v>
      </c>
      <c r="BE6" s="52">
        <f>+BF6-BD6</f>
        <v>971</v>
      </c>
      <c r="BF6" s="237">
        <v>3970</v>
      </c>
      <c r="BH6" s="211">
        <v>949</v>
      </c>
      <c r="BI6" s="52">
        <f aca="true" t="shared" si="1" ref="BI6:BI12">+BJ6-BH6</f>
        <v>874</v>
      </c>
      <c r="BJ6" s="210">
        <v>1823</v>
      </c>
      <c r="BK6" s="52">
        <f>+BL6-BJ6</f>
        <v>919</v>
      </c>
      <c r="BL6" s="210">
        <v>2742</v>
      </c>
      <c r="BM6" s="52">
        <f>+BN6-BL6</f>
        <v>1026</v>
      </c>
      <c r="BN6" s="237">
        <v>3768</v>
      </c>
      <c r="BP6" s="211">
        <v>1068</v>
      </c>
      <c r="BQ6" s="52">
        <f aca="true" t="shared" si="2" ref="BQ6:BQ12">+BR6-BP6</f>
        <v>-1068</v>
      </c>
      <c r="BR6" s="210"/>
      <c r="BS6" s="52">
        <f>+BT6-BR6</f>
        <v>0</v>
      </c>
      <c r="BT6" s="210"/>
      <c r="BU6" s="52">
        <f>+BV6-BT6</f>
        <v>0</v>
      </c>
      <c r="BV6" s="237"/>
    </row>
    <row r="7" spans="2:74" s="51" customFormat="1" ht="13.5" customHeight="1">
      <c r="B7" s="131" t="s">
        <v>115</v>
      </c>
      <c r="D7" s="211">
        <v>1845</v>
      </c>
      <c r="E7" s="52">
        <f>+F7-D7</f>
        <v>1202</v>
      </c>
      <c r="F7" s="210">
        <v>3047</v>
      </c>
      <c r="G7" s="52">
        <f>+H7-F7</f>
        <v>1299</v>
      </c>
      <c r="H7" s="210">
        <v>4346</v>
      </c>
      <c r="I7" s="52">
        <f>+J7-H7</f>
        <v>1652</v>
      </c>
      <c r="J7" s="237">
        <v>5998</v>
      </c>
      <c r="L7" s="211">
        <v>1495</v>
      </c>
      <c r="M7" s="52">
        <f>+N7-L7</f>
        <v>929</v>
      </c>
      <c r="N7" s="210">
        <v>2424</v>
      </c>
      <c r="O7" s="52">
        <f>+P7-N7</f>
        <v>981</v>
      </c>
      <c r="P7" s="210">
        <v>3405</v>
      </c>
      <c r="Q7" s="52">
        <f>+R7-P7</f>
        <v>1763</v>
      </c>
      <c r="R7" s="237">
        <v>5168</v>
      </c>
      <c r="T7" s="211">
        <v>1566</v>
      </c>
      <c r="U7" s="52">
        <f>+V7-T7</f>
        <v>1019</v>
      </c>
      <c r="V7" s="210">
        <v>2585</v>
      </c>
      <c r="W7" s="52">
        <f>+X7-V7</f>
        <v>1075</v>
      </c>
      <c r="X7" s="210">
        <v>3660</v>
      </c>
      <c r="Y7" s="52">
        <f>+Z7-X7</f>
        <v>1508</v>
      </c>
      <c r="Z7" s="237">
        <v>5168</v>
      </c>
      <c r="AB7" s="211">
        <v>1676</v>
      </c>
      <c r="AC7" s="52">
        <f>+AD7-AB7</f>
        <v>1041</v>
      </c>
      <c r="AD7" s="210">
        <v>2717</v>
      </c>
      <c r="AE7" s="52">
        <f>+AF7-AD7</f>
        <v>1156</v>
      </c>
      <c r="AF7" s="210">
        <v>3873</v>
      </c>
      <c r="AG7" s="52">
        <f>+AH7-AF7</f>
        <v>1639</v>
      </c>
      <c r="AH7" s="237">
        <v>5512</v>
      </c>
      <c r="AJ7" s="211">
        <v>1836</v>
      </c>
      <c r="AK7" s="52">
        <f>+AL7-AJ7</f>
        <v>1275</v>
      </c>
      <c r="AL7" s="210">
        <v>3111</v>
      </c>
      <c r="AM7" s="52">
        <f>+AN7-AL7</f>
        <v>1251</v>
      </c>
      <c r="AN7" s="210">
        <v>4362</v>
      </c>
      <c r="AO7" s="52">
        <f aca="true" t="shared" si="3" ref="AO7:AO42">+AP7-AN7</f>
        <v>1669</v>
      </c>
      <c r="AP7" s="237">
        <v>6031</v>
      </c>
      <c r="AR7" s="211">
        <v>1636</v>
      </c>
      <c r="AS7" s="52">
        <f>+AT7-AR7</f>
        <v>1185</v>
      </c>
      <c r="AT7" s="210">
        <v>2821</v>
      </c>
      <c r="AU7" s="52">
        <f>+AV7-AT7</f>
        <v>1114</v>
      </c>
      <c r="AV7" s="210">
        <v>3935</v>
      </c>
      <c r="AW7" s="52">
        <f t="shared" si="0"/>
        <v>1657</v>
      </c>
      <c r="AX7" s="237">
        <v>5592</v>
      </c>
      <c r="AZ7" s="211">
        <v>1636</v>
      </c>
      <c r="BA7" s="52">
        <f>+BB7-AZ7</f>
        <v>1185</v>
      </c>
      <c r="BB7" s="210">
        <v>2821</v>
      </c>
      <c r="BC7" s="52">
        <f aca="true" t="shared" si="4" ref="BC7:BE8">+BD7-BB7</f>
        <v>1114</v>
      </c>
      <c r="BD7" s="210">
        <v>3935</v>
      </c>
      <c r="BE7" s="52">
        <f t="shared" si="4"/>
        <v>1657</v>
      </c>
      <c r="BF7" s="237">
        <v>5592</v>
      </c>
      <c r="BH7" s="211">
        <v>1657</v>
      </c>
      <c r="BI7" s="52">
        <f t="shared" si="1"/>
        <v>1257</v>
      </c>
      <c r="BJ7" s="210">
        <v>2914</v>
      </c>
      <c r="BK7" s="52">
        <f>+BL7-BJ7</f>
        <v>1365</v>
      </c>
      <c r="BL7" s="210">
        <v>4279</v>
      </c>
      <c r="BM7" s="52">
        <f>+BN7-BL7</f>
        <v>1819</v>
      </c>
      <c r="BN7" s="237">
        <v>6098</v>
      </c>
      <c r="BP7" s="211">
        <v>1696</v>
      </c>
      <c r="BQ7" s="52">
        <f t="shared" si="2"/>
        <v>-1696</v>
      </c>
      <c r="BR7" s="210"/>
      <c r="BS7" s="52">
        <f>+BT7-BR7</f>
        <v>0</v>
      </c>
      <c r="BT7" s="210"/>
      <c r="BU7" s="52">
        <f>+BV7-BT7</f>
        <v>0</v>
      </c>
      <c r="BV7" s="237"/>
    </row>
    <row r="8" spans="2:74" s="51" customFormat="1" ht="13.5" customHeight="1">
      <c r="B8" s="131" t="s">
        <v>116</v>
      </c>
      <c r="D8" s="211">
        <v>12</v>
      </c>
      <c r="E8" s="52">
        <f>+F8-D8</f>
        <v>12</v>
      </c>
      <c r="F8" s="210">
        <v>24</v>
      </c>
      <c r="G8" s="52">
        <f>+H8-F8</f>
        <v>13</v>
      </c>
      <c r="H8" s="210">
        <v>37</v>
      </c>
      <c r="I8" s="52">
        <f>+J8-H8</f>
        <v>15</v>
      </c>
      <c r="J8" s="237">
        <v>52</v>
      </c>
      <c r="L8" s="211">
        <v>12</v>
      </c>
      <c r="M8" s="52">
        <f>+N8-L8</f>
        <v>11</v>
      </c>
      <c r="N8" s="210">
        <v>23</v>
      </c>
      <c r="O8" s="52">
        <f>+P8-N8</f>
        <v>12</v>
      </c>
      <c r="P8" s="210">
        <v>35</v>
      </c>
      <c r="Q8" s="52">
        <f>+R8-P8</f>
        <v>13</v>
      </c>
      <c r="R8" s="237">
        <v>48</v>
      </c>
      <c r="T8" s="211">
        <v>12</v>
      </c>
      <c r="U8" s="52">
        <f>+V8-T8</f>
        <v>11</v>
      </c>
      <c r="V8" s="210">
        <v>23</v>
      </c>
      <c r="W8" s="52">
        <f>+X8-V8</f>
        <v>12</v>
      </c>
      <c r="X8" s="210">
        <v>35</v>
      </c>
      <c r="Y8" s="52">
        <f>+Z8-X8</f>
        <v>13</v>
      </c>
      <c r="Z8" s="237">
        <v>48</v>
      </c>
      <c r="AB8" s="211">
        <v>12</v>
      </c>
      <c r="AC8" s="52">
        <f>+AD8-AB8</f>
        <v>12</v>
      </c>
      <c r="AD8" s="210">
        <v>24</v>
      </c>
      <c r="AE8" s="52">
        <f>+AF8-AD8</f>
        <v>12</v>
      </c>
      <c r="AF8" s="210">
        <v>36</v>
      </c>
      <c r="AG8" s="52">
        <f>+AH8-AF8</f>
        <v>13</v>
      </c>
      <c r="AH8" s="237">
        <v>49</v>
      </c>
      <c r="AJ8" s="211">
        <v>12</v>
      </c>
      <c r="AK8" s="52">
        <f>+AL8-AJ8</f>
        <v>13</v>
      </c>
      <c r="AL8" s="210">
        <v>25</v>
      </c>
      <c r="AM8" s="52">
        <f>+AN8-AL8</f>
        <v>12</v>
      </c>
      <c r="AN8" s="210">
        <v>37</v>
      </c>
      <c r="AO8" s="52">
        <f t="shared" si="3"/>
        <v>14</v>
      </c>
      <c r="AP8" s="237">
        <v>51</v>
      </c>
      <c r="AR8" s="211">
        <v>12</v>
      </c>
      <c r="AS8" s="52">
        <f>+AT8-AR8</f>
        <v>12</v>
      </c>
      <c r="AT8" s="210">
        <v>24</v>
      </c>
      <c r="AU8" s="52">
        <f>+AV8-AT8</f>
        <v>12</v>
      </c>
      <c r="AV8" s="210">
        <v>36</v>
      </c>
      <c r="AW8" s="52">
        <f t="shared" si="0"/>
        <v>18</v>
      </c>
      <c r="AX8" s="237">
        <v>54</v>
      </c>
      <c r="AZ8" s="211">
        <v>12</v>
      </c>
      <c r="BA8" s="52">
        <f>+BB8-AZ8</f>
        <v>12</v>
      </c>
      <c r="BB8" s="210">
        <v>24</v>
      </c>
      <c r="BC8" s="52">
        <f t="shared" si="4"/>
        <v>12</v>
      </c>
      <c r="BD8" s="210">
        <v>36</v>
      </c>
      <c r="BE8" s="52">
        <f t="shared" si="4"/>
        <v>18</v>
      </c>
      <c r="BF8" s="237">
        <v>54</v>
      </c>
      <c r="BH8" s="211">
        <v>14</v>
      </c>
      <c r="BI8" s="52">
        <f t="shared" si="1"/>
        <v>15</v>
      </c>
      <c r="BJ8" s="210">
        <v>29</v>
      </c>
      <c r="BK8" s="52">
        <f>+BL8-BJ8</f>
        <v>16</v>
      </c>
      <c r="BL8" s="210">
        <v>45</v>
      </c>
      <c r="BM8" s="52">
        <f>+BN8-BL8</f>
        <v>24</v>
      </c>
      <c r="BN8" s="237">
        <v>69</v>
      </c>
      <c r="BP8" s="211">
        <v>14</v>
      </c>
      <c r="BQ8" s="52">
        <f t="shared" si="2"/>
        <v>-14</v>
      </c>
      <c r="BR8" s="210"/>
      <c r="BS8" s="52">
        <f>+BT8-BR8</f>
        <v>0</v>
      </c>
      <c r="BT8" s="210"/>
      <c r="BU8" s="52">
        <f>+BV8-BT8</f>
        <v>0</v>
      </c>
      <c r="BV8" s="237"/>
    </row>
    <row r="9" spans="2:74" s="51" customFormat="1" ht="13.5" customHeight="1">
      <c r="B9" s="131" t="s">
        <v>117</v>
      </c>
      <c r="D9" s="211">
        <v>-288</v>
      </c>
      <c r="E9" s="52">
        <f>+F9-D9</f>
        <v>-166</v>
      </c>
      <c r="F9" s="210">
        <v>-454</v>
      </c>
      <c r="G9" s="52">
        <f>+H9-F9</f>
        <v>-215</v>
      </c>
      <c r="H9" s="210">
        <v>-669</v>
      </c>
      <c r="I9" s="52">
        <f>+J9-H9</f>
        <v>-239</v>
      </c>
      <c r="J9" s="237">
        <v>-908</v>
      </c>
      <c r="L9" s="211">
        <v>-215</v>
      </c>
      <c r="M9" s="52">
        <f>+N9-L9</f>
        <v>-151</v>
      </c>
      <c r="N9" s="210">
        <v>-366</v>
      </c>
      <c r="O9" s="52">
        <f>+P9-N9</f>
        <v>-180</v>
      </c>
      <c r="P9" s="210">
        <v>-546</v>
      </c>
      <c r="Q9" s="52">
        <f>+R9-P9</f>
        <v>-204</v>
      </c>
      <c r="R9" s="237">
        <v>-750</v>
      </c>
      <c r="T9" s="211">
        <v>-215</v>
      </c>
      <c r="U9" s="52">
        <f>+V9-T9</f>
        <v>-151</v>
      </c>
      <c r="V9" s="210">
        <v>-366</v>
      </c>
      <c r="W9" s="52">
        <f>+X9-V9</f>
        <v>-180</v>
      </c>
      <c r="X9" s="210">
        <v>-546</v>
      </c>
      <c r="Y9" s="52">
        <f>+Z9-X9</f>
        <v>-204</v>
      </c>
      <c r="Z9" s="237">
        <v>-750</v>
      </c>
      <c r="AB9" s="211">
        <v>-244</v>
      </c>
      <c r="AC9" s="52">
        <f>+AD9-AB9</f>
        <v>-162</v>
      </c>
      <c r="AD9" s="210">
        <v>-406</v>
      </c>
      <c r="AE9" s="52">
        <f>+AF9-AD9</f>
        <v>-191</v>
      </c>
      <c r="AF9" s="210">
        <v>-597</v>
      </c>
      <c r="AG9" s="52">
        <f>+AH9-AF9</f>
        <v>-180</v>
      </c>
      <c r="AH9" s="237">
        <v>-777</v>
      </c>
      <c r="AJ9" s="211">
        <v>-183</v>
      </c>
      <c r="AK9" s="52">
        <f>+AL9-AJ9</f>
        <v>-135</v>
      </c>
      <c r="AL9" s="210">
        <v>-318</v>
      </c>
      <c r="AM9" s="52">
        <f>+AN9-AL9</f>
        <v>-170</v>
      </c>
      <c r="AN9" s="210">
        <v>-488</v>
      </c>
      <c r="AO9" s="52">
        <f t="shared" si="3"/>
        <v>-242</v>
      </c>
      <c r="AP9" s="237">
        <v>-730</v>
      </c>
      <c r="AR9" s="211">
        <v>-237</v>
      </c>
      <c r="AS9" s="52">
        <f>+AT9-AR9</f>
        <v>-184</v>
      </c>
      <c r="AT9" s="210">
        <v>-421</v>
      </c>
      <c r="AU9" s="52">
        <f>+AV9-AT9</f>
        <v>-196</v>
      </c>
      <c r="AV9" s="210">
        <v>-617</v>
      </c>
      <c r="AW9" s="52">
        <f t="shared" si="0"/>
        <v>-216</v>
      </c>
      <c r="AX9" s="237">
        <v>-833</v>
      </c>
      <c r="AZ9" s="211">
        <v>-237</v>
      </c>
      <c r="BA9" s="52">
        <f>+BB9-AZ9</f>
        <v>-184</v>
      </c>
      <c r="BB9" s="210">
        <v>-421</v>
      </c>
      <c r="BC9" s="52">
        <f>+BD9-BB9</f>
        <v>-196</v>
      </c>
      <c r="BD9" s="210">
        <v>-617</v>
      </c>
      <c r="BE9" s="52">
        <f>+BF9-BD9</f>
        <v>-216</v>
      </c>
      <c r="BF9" s="237">
        <v>-833</v>
      </c>
      <c r="BH9" s="211">
        <v>-201</v>
      </c>
      <c r="BI9" s="52">
        <f t="shared" si="1"/>
        <v>-140</v>
      </c>
      <c r="BJ9" s="210">
        <v>-341</v>
      </c>
      <c r="BK9" s="52">
        <f>+BL9-BJ9</f>
        <v>-204</v>
      </c>
      <c r="BL9" s="210">
        <v>-545</v>
      </c>
      <c r="BM9" s="52">
        <f>+BN9-BL9</f>
        <v>-231</v>
      </c>
      <c r="BN9" s="237">
        <v>-776</v>
      </c>
      <c r="BP9" s="211">
        <v>-267</v>
      </c>
      <c r="BQ9" s="52">
        <f t="shared" si="2"/>
        <v>267</v>
      </c>
      <c r="BR9" s="210"/>
      <c r="BS9" s="52">
        <f>+BT9-BR9</f>
        <v>0</v>
      </c>
      <c r="BT9" s="210"/>
      <c r="BU9" s="52">
        <f>+BV9-BT9</f>
        <v>0</v>
      </c>
      <c r="BV9" s="237"/>
    </row>
    <row r="10" spans="2:74" s="53" customFormat="1" ht="13.5" customHeight="1">
      <c r="B10" s="132" t="s">
        <v>145</v>
      </c>
      <c r="D10" s="146">
        <f aca="true" t="shared" si="5" ref="D10:J10">+D6+D7+D8+D9</f>
        <v>3325</v>
      </c>
      <c r="E10" s="54">
        <f t="shared" si="5"/>
        <v>2835</v>
      </c>
      <c r="F10" s="54">
        <f t="shared" si="5"/>
        <v>6160</v>
      </c>
      <c r="G10" s="54">
        <f t="shared" si="5"/>
        <v>2834</v>
      </c>
      <c r="H10" s="54">
        <f t="shared" si="5"/>
        <v>8994</v>
      </c>
      <c r="I10" s="23">
        <f t="shared" si="5"/>
        <v>3310</v>
      </c>
      <c r="J10" s="125">
        <f t="shared" si="5"/>
        <v>12304</v>
      </c>
      <c r="L10" s="146">
        <f aca="true" t="shared" si="6" ref="L10:R10">+L6+L7+L8+L9</f>
        <v>3537</v>
      </c>
      <c r="M10" s="54">
        <f t="shared" si="6"/>
        <v>2555</v>
      </c>
      <c r="N10" s="54">
        <f t="shared" si="6"/>
        <v>6092</v>
      </c>
      <c r="O10" s="54">
        <f t="shared" si="6"/>
        <v>2702</v>
      </c>
      <c r="P10" s="54">
        <f t="shared" si="6"/>
        <v>8794</v>
      </c>
      <c r="Q10" s="23">
        <f t="shared" si="6"/>
        <v>3531</v>
      </c>
      <c r="R10" s="125">
        <f t="shared" si="6"/>
        <v>12325</v>
      </c>
      <c r="T10" s="146">
        <f aca="true" t="shared" si="7" ref="T10:Z10">+T6+T7+T8+T9</f>
        <v>3478</v>
      </c>
      <c r="U10" s="54">
        <f t="shared" si="7"/>
        <v>2633</v>
      </c>
      <c r="V10" s="54">
        <f t="shared" si="7"/>
        <v>6111</v>
      </c>
      <c r="W10" s="54">
        <f t="shared" si="7"/>
        <v>2819</v>
      </c>
      <c r="X10" s="54">
        <f t="shared" si="7"/>
        <v>8930</v>
      </c>
      <c r="Y10" s="23">
        <f t="shared" si="7"/>
        <v>3395</v>
      </c>
      <c r="Z10" s="125">
        <f t="shared" si="7"/>
        <v>12325</v>
      </c>
      <c r="AB10" s="146">
        <f aca="true" t="shared" si="8" ref="AB10:AH10">+AB6+AB7+AB8+AB9</f>
        <v>3147</v>
      </c>
      <c r="AC10" s="54">
        <f t="shared" si="8"/>
        <v>2472</v>
      </c>
      <c r="AD10" s="54">
        <f t="shared" si="8"/>
        <v>5619</v>
      </c>
      <c r="AE10" s="54">
        <f t="shared" si="8"/>
        <v>2690</v>
      </c>
      <c r="AF10" s="54">
        <f t="shared" si="8"/>
        <v>8309</v>
      </c>
      <c r="AG10" s="23">
        <f t="shared" si="8"/>
        <v>3004</v>
      </c>
      <c r="AH10" s="125">
        <f t="shared" si="8"/>
        <v>11313</v>
      </c>
      <c r="AJ10" s="146">
        <f>+AJ6+AJ7+AJ8+AJ9</f>
        <v>3026</v>
      </c>
      <c r="AK10" s="54">
        <f>+AK6+AK7+AK8+AK9</f>
        <v>2442</v>
      </c>
      <c r="AL10" s="54">
        <f>+AL6+AL7+AL8+AL9</f>
        <v>5468</v>
      </c>
      <c r="AM10" s="54">
        <f>+AM6+AM7+AM8+AM9</f>
        <v>2506</v>
      </c>
      <c r="AN10" s="54">
        <f>+AN6+AN7+AN8+AN9</f>
        <v>7974</v>
      </c>
      <c r="AO10" s="23">
        <f t="shared" si="3"/>
        <v>3060</v>
      </c>
      <c r="AP10" s="125">
        <f>+AP6+AP7+AP8+AP9</f>
        <v>11034</v>
      </c>
      <c r="AR10" s="146">
        <f>+SUM(AR6:AR9)</f>
        <v>2798</v>
      </c>
      <c r="AS10" s="54">
        <f>+AS6+AS7+AS8+AS9</f>
        <v>2170</v>
      </c>
      <c r="AT10" s="54">
        <f>+AT6+AT7+AT8+AT9</f>
        <v>4968</v>
      </c>
      <c r="AU10" s="54">
        <f>+AU6+AU7+AU8+AU9</f>
        <v>2247</v>
      </c>
      <c r="AV10" s="23">
        <f>+AV6+AV7+AV8+AV9</f>
        <v>7215</v>
      </c>
      <c r="AW10" s="23">
        <f t="shared" si="0"/>
        <v>2725</v>
      </c>
      <c r="AX10" s="125">
        <f>+AX6+AX7+AX8+AX9</f>
        <v>9940</v>
      </c>
      <c r="AZ10" s="146">
        <f>+SUM(AZ6:AZ9)</f>
        <v>2706</v>
      </c>
      <c r="BA10" s="54">
        <f>+BA6+BA7+BA8+BA9</f>
        <v>1671</v>
      </c>
      <c r="BB10" s="54">
        <f>+BB6+BB7+BB8+BB9</f>
        <v>4377</v>
      </c>
      <c r="BC10" s="54">
        <f>+BC6+BC7+BC8+BC9</f>
        <v>1976</v>
      </c>
      <c r="BD10" s="23">
        <f>+BD6+BD7+BD8+BD9</f>
        <v>6353</v>
      </c>
      <c r="BE10" s="23">
        <v>0</v>
      </c>
      <c r="BF10" s="125">
        <f>+BF6+BF7+BF8+BF9</f>
        <v>8783</v>
      </c>
      <c r="BH10" s="146">
        <f>SUM(BH6:BH9)</f>
        <v>2419</v>
      </c>
      <c r="BI10" s="23">
        <f t="shared" si="1"/>
        <v>2006</v>
      </c>
      <c r="BJ10" s="54">
        <f>+SUM(BJ6:BJ9)</f>
        <v>4425</v>
      </c>
      <c r="BK10" s="54">
        <f>+SUM(BK6:BK9)</f>
        <v>2096</v>
      </c>
      <c r="BL10" s="54">
        <f>+SUM(BL6:BL9)</f>
        <v>6521</v>
      </c>
      <c r="BM10" s="54">
        <f>+SUM(BM6:BM9)</f>
        <v>2638</v>
      </c>
      <c r="BN10" s="125">
        <f>+SUM(BN6:BN9)</f>
        <v>9159</v>
      </c>
      <c r="BP10" s="146">
        <f>SUM(BP6:BP9)</f>
        <v>2511</v>
      </c>
      <c r="BQ10" s="23">
        <f t="shared" si="2"/>
        <v>-2511</v>
      </c>
      <c r="BR10" s="54">
        <f>+SUM(BR6:BR9)</f>
        <v>0</v>
      </c>
      <c r="BS10" s="54">
        <f>+SUM(BS6:BS9)</f>
        <v>0</v>
      </c>
      <c r="BT10" s="54">
        <f>+SUM(BT6:BT9)</f>
        <v>0</v>
      </c>
      <c r="BU10" s="54">
        <f>+SUM(BU6:BU9)</f>
        <v>0</v>
      </c>
      <c r="BV10" s="125">
        <f>+SUM(BV6:BV9)</f>
        <v>0</v>
      </c>
    </row>
    <row r="11" spans="1:74" s="58" customFormat="1" ht="13.5" customHeight="1">
      <c r="A11" s="57"/>
      <c r="B11" s="133" t="s">
        <v>89</v>
      </c>
      <c r="D11" s="213">
        <v>85</v>
      </c>
      <c r="E11" s="52">
        <f>+F11-D11</f>
        <v>382</v>
      </c>
      <c r="F11" s="212">
        <v>467</v>
      </c>
      <c r="G11" s="52">
        <f>+H11-F11</f>
        <v>111</v>
      </c>
      <c r="H11" s="212">
        <v>578</v>
      </c>
      <c r="I11" s="52">
        <f>+J11-H11</f>
        <v>-48</v>
      </c>
      <c r="J11" s="237">
        <v>530</v>
      </c>
      <c r="L11" s="213">
        <v>126</v>
      </c>
      <c r="M11" s="52">
        <f>+N11-L11</f>
        <v>150</v>
      </c>
      <c r="N11" s="212">
        <v>276</v>
      </c>
      <c r="O11" s="52">
        <f>+P11-N11</f>
        <v>194</v>
      </c>
      <c r="P11" s="212">
        <v>470</v>
      </c>
      <c r="Q11" s="52">
        <f>+R11-P11</f>
        <v>-215</v>
      </c>
      <c r="R11" s="237">
        <v>255</v>
      </c>
      <c r="T11" s="213">
        <v>43</v>
      </c>
      <c r="U11" s="52">
        <f>+V11-T11</f>
        <v>53</v>
      </c>
      <c r="V11" s="212">
        <v>96</v>
      </c>
      <c r="W11" s="52">
        <f>+X11-V11</f>
        <v>97</v>
      </c>
      <c r="X11" s="212">
        <v>193</v>
      </c>
      <c r="Y11" s="52">
        <f>+Z11-X11</f>
        <v>62</v>
      </c>
      <c r="Z11" s="237">
        <v>255</v>
      </c>
      <c r="AB11" s="213">
        <v>31</v>
      </c>
      <c r="AC11" s="52">
        <f>+AD11-AB11</f>
        <v>39</v>
      </c>
      <c r="AD11" s="212">
        <v>70</v>
      </c>
      <c r="AE11" s="52">
        <f>+AF11-AD11</f>
        <v>31</v>
      </c>
      <c r="AF11" s="212">
        <v>101</v>
      </c>
      <c r="AG11" s="52">
        <f>+AH11-AF11</f>
        <v>703</v>
      </c>
      <c r="AH11" s="237">
        <v>804</v>
      </c>
      <c r="AJ11" s="213">
        <v>20</v>
      </c>
      <c r="AK11" s="52">
        <f>+AL11-AJ11</f>
        <v>76</v>
      </c>
      <c r="AL11" s="212">
        <v>96</v>
      </c>
      <c r="AM11" s="52">
        <f>+AN11-AL11</f>
        <v>55</v>
      </c>
      <c r="AN11" s="212">
        <v>151</v>
      </c>
      <c r="AO11" s="52">
        <f t="shared" si="3"/>
        <v>81</v>
      </c>
      <c r="AP11" s="237">
        <v>232</v>
      </c>
      <c r="AR11" s="213">
        <v>38</v>
      </c>
      <c r="AS11" s="52">
        <f>+AT11-AR11</f>
        <v>27</v>
      </c>
      <c r="AT11" s="212">
        <v>65</v>
      </c>
      <c r="AU11" s="52">
        <f>+AV11-AT11</f>
        <v>32</v>
      </c>
      <c r="AV11" s="212">
        <v>97</v>
      </c>
      <c r="AW11" s="52">
        <f t="shared" si="0"/>
        <v>46</v>
      </c>
      <c r="AX11" s="237">
        <v>143</v>
      </c>
      <c r="AZ11" s="213"/>
      <c r="BA11" s="52">
        <f>+BB11-AZ11</f>
        <v>65</v>
      </c>
      <c r="BB11" s="212">
        <v>65</v>
      </c>
      <c r="BC11" s="52">
        <f>+BD11-BB11</f>
        <v>32</v>
      </c>
      <c r="BD11" s="212">
        <v>97</v>
      </c>
      <c r="BE11" s="52">
        <f>+BF11-BD11</f>
        <v>46</v>
      </c>
      <c r="BF11" s="237">
        <v>143</v>
      </c>
      <c r="BH11" s="213">
        <v>23</v>
      </c>
      <c r="BI11" s="52">
        <f t="shared" si="1"/>
        <v>34</v>
      </c>
      <c r="BJ11" s="212">
        <v>57</v>
      </c>
      <c r="BK11" s="52">
        <f>+BL11-BJ11</f>
        <v>63</v>
      </c>
      <c r="BL11" s="212">
        <v>120</v>
      </c>
      <c r="BM11" s="52">
        <f>+BN11-BL11</f>
        <v>34</v>
      </c>
      <c r="BN11" s="237">
        <v>154</v>
      </c>
      <c r="BP11" s="213">
        <v>26</v>
      </c>
      <c r="BQ11" s="52">
        <f t="shared" si="2"/>
        <v>-26</v>
      </c>
      <c r="BR11" s="212"/>
      <c r="BS11" s="52">
        <f>+BT11-BR11</f>
        <v>0</v>
      </c>
      <c r="BT11" s="212"/>
      <c r="BU11" s="52">
        <f>+BV11-BT11</f>
        <v>0</v>
      </c>
      <c r="BV11" s="237"/>
    </row>
    <row r="12" spans="1:74" ht="12.75" customHeight="1">
      <c r="A12" s="58"/>
      <c r="B12" s="134" t="s">
        <v>146</v>
      </c>
      <c r="D12" s="82">
        <f aca="true" t="shared" si="9" ref="D12:J12">+D10+D11</f>
        <v>3410</v>
      </c>
      <c r="E12" s="39">
        <f t="shared" si="9"/>
        <v>3217</v>
      </c>
      <c r="F12" s="39">
        <f t="shared" si="9"/>
        <v>6627</v>
      </c>
      <c r="G12" s="39">
        <f t="shared" si="9"/>
        <v>2945</v>
      </c>
      <c r="H12" s="39">
        <f t="shared" si="9"/>
        <v>9572</v>
      </c>
      <c r="I12" s="23">
        <f t="shared" si="9"/>
        <v>3262</v>
      </c>
      <c r="J12" s="83">
        <f t="shared" si="9"/>
        <v>12834</v>
      </c>
      <c r="L12" s="82">
        <f aca="true" t="shared" si="10" ref="L12:R12">+L10+L11</f>
        <v>3663</v>
      </c>
      <c r="M12" s="39">
        <f t="shared" si="10"/>
        <v>2705</v>
      </c>
      <c r="N12" s="39">
        <f t="shared" si="10"/>
        <v>6368</v>
      </c>
      <c r="O12" s="39">
        <f t="shared" si="10"/>
        <v>2896</v>
      </c>
      <c r="P12" s="39">
        <f t="shared" si="10"/>
        <v>9264</v>
      </c>
      <c r="Q12" s="23">
        <f t="shared" si="10"/>
        <v>3316</v>
      </c>
      <c r="R12" s="83">
        <f t="shared" si="10"/>
        <v>12580</v>
      </c>
      <c r="T12" s="82">
        <f aca="true" t="shared" si="11" ref="T12:Z12">+T10+T11</f>
        <v>3521</v>
      </c>
      <c r="U12" s="39">
        <f t="shared" si="11"/>
        <v>2686</v>
      </c>
      <c r="V12" s="39">
        <f t="shared" si="11"/>
        <v>6207</v>
      </c>
      <c r="W12" s="39">
        <f t="shared" si="11"/>
        <v>2916</v>
      </c>
      <c r="X12" s="39">
        <f t="shared" si="11"/>
        <v>9123</v>
      </c>
      <c r="Y12" s="23">
        <f t="shared" si="11"/>
        <v>3457</v>
      </c>
      <c r="Z12" s="83">
        <f t="shared" si="11"/>
        <v>12580</v>
      </c>
      <c r="AB12" s="82">
        <f aca="true" t="shared" si="12" ref="AB12:AH12">+AB10+AB11</f>
        <v>3178</v>
      </c>
      <c r="AC12" s="39">
        <f t="shared" si="12"/>
        <v>2511</v>
      </c>
      <c r="AD12" s="39">
        <f t="shared" si="12"/>
        <v>5689</v>
      </c>
      <c r="AE12" s="39">
        <f t="shared" si="12"/>
        <v>2721</v>
      </c>
      <c r="AF12" s="39">
        <f t="shared" si="12"/>
        <v>8410</v>
      </c>
      <c r="AG12" s="23">
        <f t="shared" si="12"/>
        <v>3707</v>
      </c>
      <c r="AH12" s="83">
        <f t="shared" si="12"/>
        <v>12117</v>
      </c>
      <c r="AJ12" s="82">
        <f>+AJ10+AJ11</f>
        <v>3046</v>
      </c>
      <c r="AK12" s="39">
        <f>+AK10+AK11</f>
        <v>2518</v>
      </c>
      <c r="AL12" s="39">
        <f>+AL10+AL11</f>
        <v>5564</v>
      </c>
      <c r="AM12" s="39">
        <f>+AM10+AM11</f>
        <v>2561</v>
      </c>
      <c r="AN12" s="39">
        <f>SUM(AN10:AN11)</f>
        <v>8125</v>
      </c>
      <c r="AO12" s="23">
        <f t="shared" si="3"/>
        <v>3141</v>
      </c>
      <c r="AP12" s="83">
        <f>+AP10+AP11</f>
        <v>11266</v>
      </c>
      <c r="AR12" s="82">
        <f>+AR10+AR11</f>
        <v>2836</v>
      </c>
      <c r="AS12" s="39">
        <f>+AS10+AS11</f>
        <v>2197</v>
      </c>
      <c r="AT12" s="39">
        <f>+AT10+AT11</f>
        <v>5033</v>
      </c>
      <c r="AU12" s="39">
        <f>+AU10+AU11</f>
        <v>2279</v>
      </c>
      <c r="AV12" s="253">
        <f>SUM(AV10:AV11)</f>
        <v>7312</v>
      </c>
      <c r="AW12" s="23">
        <f t="shared" si="0"/>
        <v>2771</v>
      </c>
      <c r="AX12" s="83">
        <f>+AX10+AX11</f>
        <v>10083</v>
      </c>
      <c r="AZ12" s="82">
        <f>+AZ10+AZ11</f>
        <v>2706</v>
      </c>
      <c r="BA12" s="39">
        <f>+BA10+BA11</f>
        <v>1736</v>
      </c>
      <c r="BB12" s="39">
        <f>+BB10+BB11</f>
        <v>4442</v>
      </c>
      <c r="BC12" s="39">
        <f>+BC10+BC11</f>
        <v>2008</v>
      </c>
      <c r="BD12" s="253">
        <f>SUM(BD10:BD11)</f>
        <v>6450</v>
      </c>
      <c r="BE12" s="23">
        <v>0</v>
      </c>
      <c r="BF12" s="83">
        <f>+BF10+BF11</f>
        <v>8926</v>
      </c>
      <c r="BH12" s="354">
        <f>+BH10+BH11</f>
        <v>2442</v>
      </c>
      <c r="BI12" s="23">
        <f t="shared" si="1"/>
        <v>2040</v>
      </c>
      <c r="BJ12" s="39">
        <f>+BJ10+BJ11</f>
        <v>4482</v>
      </c>
      <c r="BK12" s="39">
        <f>+BK10+BK11</f>
        <v>2159</v>
      </c>
      <c r="BL12" s="39">
        <f>+BL10+BL11</f>
        <v>6641</v>
      </c>
      <c r="BM12" s="39">
        <f>+BM10+BM11</f>
        <v>2672</v>
      </c>
      <c r="BN12" s="83">
        <f>+BN10+BN11</f>
        <v>9313</v>
      </c>
      <c r="BP12" s="354">
        <f>+BP10+BP11</f>
        <v>2537</v>
      </c>
      <c r="BQ12" s="23">
        <f t="shared" si="2"/>
        <v>-2537</v>
      </c>
      <c r="BR12" s="39">
        <f>+BR10+BR11</f>
        <v>0</v>
      </c>
      <c r="BS12" s="39">
        <f>+BS10+BS11</f>
        <v>0</v>
      </c>
      <c r="BT12" s="39">
        <f>+BT10+BT11</f>
        <v>0</v>
      </c>
      <c r="BU12" s="39">
        <f>+BU10+BU11</f>
        <v>0</v>
      </c>
      <c r="BV12" s="83">
        <f>+BV10+BV11</f>
        <v>0</v>
      </c>
    </row>
    <row r="13" spans="1:74" ht="12.75" customHeight="1">
      <c r="A13" s="58"/>
      <c r="B13" s="134"/>
      <c r="D13" s="82"/>
      <c r="E13" s="39"/>
      <c r="F13" s="39"/>
      <c r="G13" s="39"/>
      <c r="H13" s="39"/>
      <c r="I13" s="52"/>
      <c r="J13" s="83"/>
      <c r="L13" s="82"/>
      <c r="M13" s="39"/>
      <c r="N13" s="39"/>
      <c r="O13" s="39"/>
      <c r="P13" s="39"/>
      <c r="Q13" s="52"/>
      <c r="R13" s="83"/>
      <c r="T13" s="82"/>
      <c r="U13" s="39"/>
      <c r="V13" s="39"/>
      <c r="W13" s="39"/>
      <c r="X13" s="39"/>
      <c r="Y13" s="52"/>
      <c r="Z13" s="83"/>
      <c r="AB13" s="82"/>
      <c r="AC13" s="39"/>
      <c r="AD13" s="39"/>
      <c r="AE13" s="39"/>
      <c r="AF13" s="39"/>
      <c r="AG13" s="52"/>
      <c r="AH13" s="83"/>
      <c r="AJ13" s="82"/>
      <c r="AK13" s="39"/>
      <c r="AL13" s="39"/>
      <c r="AM13" s="39"/>
      <c r="AN13" s="39"/>
      <c r="AO13" s="52"/>
      <c r="AP13" s="83"/>
      <c r="AR13" s="82"/>
      <c r="AS13" s="39"/>
      <c r="AT13" s="39"/>
      <c r="AU13" s="39"/>
      <c r="AV13" s="253"/>
      <c r="AW13" s="52"/>
      <c r="AX13" s="83"/>
      <c r="AZ13" s="82"/>
      <c r="BA13" s="39"/>
      <c r="BB13" s="39"/>
      <c r="BC13" s="39"/>
      <c r="BD13" s="253"/>
      <c r="BE13" s="52"/>
      <c r="BF13" s="83"/>
      <c r="BH13" s="82"/>
      <c r="BI13" s="52"/>
      <c r="BJ13" s="39"/>
      <c r="BK13" s="39"/>
      <c r="BL13" s="253"/>
      <c r="BM13" s="39"/>
      <c r="BN13" s="500"/>
      <c r="BP13" s="82"/>
      <c r="BQ13" s="52"/>
      <c r="BR13" s="39"/>
      <c r="BS13" s="39"/>
      <c r="BT13" s="253"/>
      <c r="BU13" s="39"/>
      <c r="BV13" s="500"/>
    </row>
    <row r="14" spans="2:74" ht="13.5" customHeight="1">
      <c r="B14" s="133" t="s">
        <v>118</v>
      </c>
      <c r="D14" s="213">
        <v>-3362</v>
      </c>
      <c r="E14" s="52">
        <f>+F14-D14</f>
        <v>-2501</v>
      </c>
      <c r="F14" s="212">
        <v>-5863</v>
      </c>
      <c r="G14" s="52">
        <f>+H14-F14</f>
        <v>-2731</v>
      </c>
      <c r="H14" s="210">
        <v>-8594</v>
      </c>
      <c r="I14" s="52">
        <f>+J14-H14</f>
        <v>-3047</v>
      </c>
      <c r="J14" s="237">
        <v>-11641</v>
      </c>
      <c r="L14" s="213">
        <v>-3392</v>
      </c>
      <c r="M14" s="52">
        <f>+N14-L14</f>
        <v>-2442</v>
      </c>
      <c r="N14" s="212">
        <v>-5834</v>
      </c>
      <c r="O14" s="52">
        <f>+P14-N14</f>
        <v>-2616</v>
      </c>
      <c r="P14" s="210">
        <v>-8450</v>
      </c>
      <c r="Q14" s="52">
        <f>+R14-P14</f>
        <v>-3095</v>
      </c>
      <c r="R14" s="237">
        <v>-11545</v>
      </c>
      <c r="T14" s="213">
        <v>-3250</v>
      </c>
      <c r="U14" s="52">
        <f>+V14-T14</f>
        <v>-2423</v>
      </c>
      <c r="V14" s="212">
        <v>-5673</v>
      </c>
      <c r="W14" s="52">
        <f>+X14-V14</f>
        <v>-2636</v>
      </c>
      <c r="X14" s="210">
        <v>-8309</v>
      </c>
      <c r="Y14" s="52">
        <f>+Z14-X14</f>
        <v>-3236</v>
      </c>
      <c r="Z14" s="237">
        <v>-11545</v>
      </c>
      <c r="AB14" s="213">
        <v>-3072</v>
      </c>
      <c r="AC14" s="52">
        <f>+AD14-AB14</f>
        <v>-2300</v>
      </c>
      <c r="AD14" s="212">
        <v>-5372</v>
      </c>
      <c r="AE14" s="52">
        <f>+AF14-AD14</f>
        <v>-2596</v>
      </c>
      <c r="AF14" s="210">
        <v>-7968</v>
      </c>
      <c r="AG14" s="52">
        <f>+AH14-AF14</f>
        <v>-2656</v>
      </c>
      <c r="AH14" s="237">
        <v>-10624</v>
      </c>
      <c r="AJ14" s="213">
        <v>-2820</v>
      </c>
      <c r="AK14" s="52">
        <f>+AL14-AJ14</f>
        <v>-2269</v>
      </c>
      <c r="AL14" s="212">
        <v>-5089</v>
      </c>
      <c r="AM14" s="52">
        <f>+AN14-AL14</f>
        <v>-2337</v>
      </c>
      <c r="AN14" s="210">
        <v>-7426</v>
      </c>
      <c r="AO14" s="52">
        <f t="shared" si="3"/>
        <v>-2892</v>
      </c>
      <c r="AP14" s="237">
        <v>-10318</v>
      </c>
      <c r="AR14" s="213">
        <v>-2528</v>
      </c>
      <c r="AS14" s="52">
        <f>+AT14-AR14</f>
        <v>-1922</v>
      </c>
      <c r="AT14" s="212">
        <v>-4450</v>
      </c>
      <c r="AU14" s="52">
        <f>+AV14-AT14</f>
        <v>-1987</v>
      </c>
      <c r="AV14" s="210">
        <v>-6437</v>
      </c>
      <c r="AW14" s="52">
        <f>+AX14-AV14</f>
        <v>-2532</v>
      </c>
      <c r="AX14" s="237">
        <v>-8969</v>
      </c>
      <c r="AZ14" s="213">
        <v>-2436</v>
      </c>
      <c r="BA14" s="52">
        <f>+BB14-AZ14</f>
        <v>-1423</v>
      </c>
      <c r="BB14" s="212">
        <v>-3859</v>
      </c>
      <c r="BC14" s="52">
        <f>+BD14-BB14</f>
        <v>-1716</v>
      </c>
      <c r="BD14" s="210">
        <v>-5575</v>
      </c>
      <c r="BE14" s="52">
        <f>+BF14-BD14</f>
        <v>-2237</v>
      </c>
      <c r="BF14" s="237">
        <f>-7026-572-61-153</f>
        <v>-7812</v>
      </c>
      <c r="BH14" s="213">
        <f>-2000-137-7-16</f>
        <v>-2160</v>
      </c>
      <c r="BI14" s="52">
        <f>+BJ14-BH14</f>
        <v>-1754</v>
      </c>
      <c r="BJ14" s="212">
        <v>-3914</v>
      </c>
      <c r="BK14" s="52">
        <f>+BL14-BJ14</f>
        <v>-1863</v>
      </c>
      <c r="BL14" s="210">
        <v>-5777</v>
      </c>
      <c r="BM14" s="52">
        <f>+BN14-BL14</f>
        <v>-2406</v>
      </c>
      <c r="BN14" s="237">
        <f>-7419-651-15-98</f>
        <v>-8183</v>
      </c>
      <c r="BO14" s="164"/>
      <c r="BP14" s="213">
        <f>-2010-152-17-17</f>
        <v>-2196</v>
      </c>
      <c r="BQ14" s="52">
        <f>+BR14-BP14</f>
        <v>2196</v>
      </c>
      <c r="BR14" s="212"/>
      <c r="BS14" s="52">
        <f>+BT14-BR14</f>
        <v>0</v>
      </c>
      <c r="BT14" s="210"/>
      <c r="BU14" s="52">
        <f>+BV14-BT14</f>
        <v>0</v>
      </c>
      <c r="BV14" s="237"/>
    </row>
    <row r="15" spans="2:74" ht="12.75">
      <c r="B15" s="133" t="s">
        <v>170</v>
      </c>
      <c r="D15" s="213">
        <v>-54</v>
      </c>
      <c r="E15" s="52">
        <f>+F15-D15</f>
        <v>-55</v>
      </c>
      <c r="F15" s="212">
        <v>-109</v>
      </c>
      <c r="G15" s="52">
        <f>+H15-F15</f>
        <v>-53</v>
      </c>
      <c r="H15" s="212">
        <v>-162</v>
      </c>
      <c r="I15" s="52">
        <f>+J15-H15</f>
        <v>-61</v>
      </c>
      <c r="J15" s="237">
        <v>-223</v>
      </c>
      <c r="L15" s="213">
        <v>-55</v>
      </c>
      <c r="M15" s="52">
        <f>+N15-L15</f>
        <v>-56</v>
      </c>
      <c r="N15" s="212">
        <v>-111</v>
      </c>
      <c r="O15" s="52">
        <f>+P15-N15</f>
        <v>-51</v>
      </c>
      <c r="P15" s="212">
        <v>-162</v>
      </c>
      <c r="Q15" s="52">
        <f>+R15-P15</f>
        <v>-59</v>
      </c>
      <c r="R15" s="237">
        <v>-221</v>
      </c>
      <c r="T15" s="213">
        <v>-55</v>
      </c>
      <c r="U15" s="52">
        <f>+V15-T15</f>
        <v>-56</v>
      </c>
      <c r="V15" s="212">
        <v>-111</v>
      </c>
      <c r="W15" s="52">
        <f>+X15-V15</f>
        <v>-51</v>
      </c>
      <c r="X15" s="212">
        <v>-162</v>
      </c>
      <c r="Y15" s="52">
        <f>+Z15-X15</f>
        <v>-59</v>
      </c>
      <c r="Z15" s="237">
        <v>-221</v>
      </c>
      <c r="AB15" s="213">
        <v>-55</v>
      </c>
      <c r="AC15" s="52">
        <f>+AD15-AB15</f>
        <v>-58</v>
      </c>
      <c r="AD15" s="212">
        <v>-113</v>
      </c>
      <c r="AE15" s="52">
        <f>+AF15-AD15</f>
        <v>-57</v>
      </c>
      <c r="AF15" s="212">
        <v>-170</v>
      </c>
      <c r="AG15" s="52">
        <f>+AH15-AF15</f>
        <v>-62</v>
      </c>
      <c r="AH15" s="237">
        <v>-232</v>
      </c>
      <c r="AJ15" s="213">
        <v>-54</v>
      </c>
      <c r="AK15" s="52">
        <f>+AL15-AJ15</f>
        <v>-81</v>
      </c>
      <c r="AL15" s="212">
        <v>-135</v>
      </c>
      <c r="AM15" s="52">
        <f>+AN15-AL15</f>
        <v>-75</v>
      </c>
      <c r="AN15" s="212">
        <v>-210</v>
      </c>
      <c r="AO15" s="52">
        <f t="shared" si="3"/>
        <v>-85</v>
      </c>
      <c r="AP15" s="237">
        <v>-295</v>
      </c>
      <c r="AR15" s="213">
        <v>-79</v>
      </c>
      <c r="AS15" s="52">
        <f>+AT15-AR15</f>
        <v>-78</v>
      </c>
      <c r="AT15" s="212">
        <v>-157</v>
      </c>
      <c r="AU15" s="52">
        <f>+AV15-AT15</f>
        <v>-71</v>
      </c>
      <c r="AV15" s="212">
        <v>-228</v>
      </c>
      <c r="AW15" s="52">
        <f>+AX15-AV15</f>
        <v>-83</v>
      </c>
      <c r="AX15" s="237">
        <v>-311</v>
      </c>
      <c r="AZ15" s="213">
        <v>-79</v>
      </c>
      <c r="BA15" s="52">
        <f>+BB15-AZ15</f>
        <v>-78</v>
      </c>
      <c r="BB15" s="212">
        <v>-157</v>
      </c>
      <c r="BC15" s="52">
        <f>+BD15-BB15</f>
        <v>-71</v>
      </c>
      <c r="BD15" s="212">
        <v>-228</v>
      </c>
      <c r="BE15" s="52">
        <f>+BF15-BD15</f>
        <v>-83</v>
      </c>
      <c r="BF15" s="237">
        <v>-311</v>
      </c>
      <c r="BH15" s="213">
        <v>-81</v>
      </c>
      <c r="BI15" s="52">
        <f>+BJ15-BH15</f>
        <v>-80</v>
      </c>
      <c r="BJ15" s="212">
        <v>-161</v>
      </c>
      <c r="BK15" s="52">
        <f>+BL15-BJ15</f>
        <v>-83</v>
      </c>
      <c r="BL15" s="212">
        <v>-244</v>
      </c>
      <c r="BM15" s="52">
        <f>+BN15-BL15</f>
        <v>-93</v>
      </c>
      <c r="BN15" s="237">
        <v>-337</v>
      </c>
      <c r="BO15" s="40"/>
      <c r="BP15" s="213">
        <v>-86</v>
      </c>
      <c r="BQ15" s="52">
        <f>+BR15-BP15</f>
        <v>86</v>
      </c>
      <c r="BR15" s="212"/>
      <c r="BS15" s="52">
        <f>+BT15-BR15</f>
        <v>0</v>
      </c>
      <c r="BT15" s="212"/>
      <c r="BU15" s="52">
        <f>+BV15-BT15</f>
        <v>0</v>
      </c>
      <c r="BV15" s="237"/>
    </row>
    <row r="16" spans="2:74" s="58" customFormat="1" ht="12.75">
      <c r="B16" s="133"/>
      <c r="D16" s="214"/>
      <c r="E16" s="52"/>
      <c r="F16" s="219"/>
      <c r="G16" s="52"/>
      <c r="H16" s="219"/>
      <c r="I16" s="52"/>
      <c r="J16" s="237"/>
      <c r="L16" s="214"/>
      <c r="M16" s="52"/>
      <c r="N16" s="219"/>
      <c r="O16" s="52"/>
      <c r="P16" s="219"/>
      <c r="Q16" s="52"/>
      <c r="R16" s="237"/>
      <c r="T16" s="214"/>
      <c r="U16" s="52"/>
      <c r="V16" s="219"/>
      <c r="W16" s="52"/>
      <c r="X16" s="219"/>
      <c r="Y16" s="52"/>
      <c r="Z16" s="237"/>
      <c r="AB16" s="214"/>
      <c r="AC16" s="52"/>
      <c r="AD16" s="219"/>
      <c r="AE16" s="52"/>
      <c r="AF16" s="219"/>
      <c r="AG16" s="52"/>
      <c r="AH16" s="237"/>
      <c r="AJ16" s="214"/>
      <c r="AK16" s="52"/>
      <c r="AL16" s="219"/>
      <c r="AM16" s="52"/>
      <c r="AN16" s="219"/>
      <c r="AO16" s="52"/>
      <c r="AP16" s="237"/>
      <c r="AR16" s="214"/>
      <c r="AS16" s="52"/>
      <c r="AT16" s="219"/>
      <c r="AU16" s="52"/>
      <c r="AV16" s="219"/>
      <c r="AW16" s="52"/>
      <c r="AX16" s="237"/>
      <c r="AZ16" s="214"/>
      <c r="BA16" s="52"/>
      <c r="BB16" s="219"/>
      <c r="BC16" s="52"/>
      <c r="BD16" s="219"/>
      <c r="BE16" s="52"/>
      <c r="BF16" s="237"/>
      <c r="BH16" s="214"/>
      <c r="BI16" s="52"/>
      <c r="BJ16" s="219"/>
      <c r="BK16" s="52"/>
      <c r="BL16" s="219"/>
      <c r="BM16" s="52"/>
      <c r="BN16" s="237"/>
      <c r="BP16" s="214"/>
      <c r="BQ16" s="52"/>
      <c r="BR16" s="219"/>
      <c r="BS16" s="52"/>
      <c r="BT16" s="219"/>
      <c r="BU16" s="52"/>
      <c r="BV16" s="237"/>
    </row>
    <row r="17" spans="2:74" s="58" customFormat="1" ht="12.75">
      <c r="B17" s="256" t="s">
        <v>486</v>
      </c>
      <c r="D17" s="211">
        <v>149</v>
      </c>
      <c r="E17" s="52">
        <f>+F17-D17</f>
        <v>204</v>
      </c>
      <c r="F17" s="210">
        <v>353</v>
      </c>
      <c r="G17" s="52">
        <f>+H17-F17</f>
        <v>159</v>
      </c>
      <c r="H17" s="210">
        <v>512</v>
      </c>
      <c r="I17" s="52">
        <f>+J17-H17</f>
        <v>154</v>
      </c>
      <c r="J17" s="237">
        <v>666</v>
      </c>
      <c r="L17" s="211">
        <v>188</v>
      </c>
      <c r="M17" s="52">
        <f>+N17-L17</f>
        <v>176</v>
      </c>
      <c r="N17" s="210">
        <v>364</v>
      </c>
      <c r="O17" s="52">
        <f>+P17-N17</f>
        <v>146</v>
      </c>
      <c r="P17" s="210">
        <v>510</v>
      </c>
      <c r="Q17" s="52">
        <f>+R17-P17</f>
        <v>180</v>
      </c>
      <c r="R17" s="237">
        <v>690</v>
      </c>
      <c r="T17" s="211">
        <v>188</v>
      </c>
      <c r="U17" s="52">
        <f>+V17-T17</f>
        <v>176</v>
      </c>
      <c r="V17" s="210">
        <v>364</v>
      </c>
      <c r="W17" s="52">
        <f>+X17-V17</f>
        <v>146</v>
      </c>
      <c r="X17" s="210">
        <v>510</v>
      </c>
      <c r="Y17" s="52">
        <f>+Z17-X17</f>
        <v>180</v>
      </c>
      <c r="Z17" s="237">
        <v>690</v>
      </c>
      <c r="AB17" s="211">
        <v>109</v>
      </c>
      <c r="AC17" s="52">
        <f>+AD17-AB17</f>
        <v>99</v>
      </c>
      <c r="AD17" s="210">
        <v>208</v>
      </c>
      <c r="AE17" s="52">
        <f>+AF17-AD17</f>
        <v>79</v>
      </c>
      <c r="AF17" s="210">
        <v>287</v>
      </c>
      <c r="AG17" s="52">
        <f>+AH17-AF17</f>
        <v>-11</v>
      </c>
      <c r="AH17" s="237">
        <v>276</v>
      </c>
      <c r="AJ17" s="211">
        <v>43</v>
      </c>
      <c r="AK17" s="52">
        <f>+AL17-AJ17</f>
        <v>79</v>
      </c>
      <c r="AL17" s="210">
        <v>122</v>
      </c>
      <c r="AM17" s="52">
        <f>+AN17-AL17</f>
        <v>60</v>
      </c>
      <c r="AN17" s="210">
        <v>182</v>
      </c>
      <c r="AO17" s="52">
        <f t="shared" si="3"/>
        <v>60</v>
      </c>
      <c r="AP17" s="237">
        <v>242</v>
      </c>
      <c r="AR17" s="211">
        <v>68</v>
      </c>
      <c r="AS17" s="52">
        <f>+AT17-AR17</f>
        <v>63</v>
      </c>
      <c r="AT17" s="210">
        <v>131</v>
      </c>
      <c r="AU17" s="52">
        <f>+AV17-AT17</f>
        <v>101</v>
      </c>
      <c r="AV17" s="210">
        <v>232</v>
      </c>
      <c r="AW17" s="52">
        <f>+AX17-AV17</f>
        <v>33</v>
      </c>
      <c r="AX17" s="237">
        <v>265</v>
      </c>
      <c r="AZ17" s="211">
        <v>68</v>
      </c>
      <c r="BA17" s="52">
        <f>+BB17-AZ17</f>
        <v>63</v>
      </c>
      <c r="BB17" s="210">
        <v>131</v>
      </c>
      <c r="BC17" s="52">
        <f>+BD17-BB17</f>
        <v>101</v>
      </c>
      <c r="BD17" s="210">
        <v>232</v>
      </c>
      <c r="BE17" s="52">
        <f>+BF17-BD17</f>
        <v>33</v>
      </c>
      <c r="BF17" s="237">
        <v>265</v>
      </c>
      <c r="BH17" s="211">
        <v>93</v>
      </c>
      <c r="BI17" s="52">
        <f>+BJ17-BH17</f>
        <v>89</v>
      </c>
      <c r="BJ17" s="210">
        <v>182</v>
      </c>
      <c r="BK17" s="52">
        <f>+BL17-BJ17</f>
        <v>71</v>
      </c>
      <c r="BL17" s="210">
        <v>253</v>
      </c>
      <c r="BM17" s="52">
        <f>+BN17-BL17</f>
        <v>75</v>
      </c>
      <c r="BN17" s="237">
        <v>328</v>
      </c>
      <c r="BP17" s="211">
        <v>118</v>
      </c>
      <c r="BQ17" s="52">
        <f>+BR17-BP17</f>
        <v>-118</v>
      </c>
      <c r="BR17" s="210"/>
      <c r="BS17" s="52">
        <f>+BT17-BR17</f>
        <v>0</v>
      </c>
      <c r="BT17" s="210"/>
      <c r="BU17" s="52">
        <f>+BV17-BT17</f>
        <v>0</v>
      </c>
      <c r="BV17" s="237"/>
    </row>
    <row r="18" spans="2:74" s="58" customFormat="1" ht="12.75">
      <c r="B18" s="256" t="s">
        <v>487</v>
      </c>
      <c r="D18" s="211">
        <v>-132</v>
      </c>
      <c r="E18" s="52">
        <f>+F18-D18</f>
        <v>482</v>
      </c>
      <c r="F18" s="210">
        <v>350</v>
      </c>
      <c r="G18" s="52">
        <f>+H18-F18</f>
        <v>23</v>
      </c>
      <c r="H18" s="210">
        <v>373</v>
      </c>
      <c r="I18" s="52">
        <f>+J18-H18</f>
        <v>42</v>
      </c>
      <c r="J18" s="237">
        <v>415</v>
      </c>
      <c r="L18" s="211">
        <v>49</v>
      </c>
      <c r="M18" s="52">
        <f>+N18-L18</f>
        <v>69</v>
      </c>
      <c r="N18" s="210">
        <v>118</v>
      </c>
      <c r="O18" s="52">
        <f>+P18-N18</f>
        <v>115</v>
      </c>
      <c r="P18" s="210">
        <v>233</v>
      </c>
      <c r="Q18" s="52">
        <f>+R18-P18</f>
        <v>22</v>
      </c>
      <c r="R18" s="237">
        <v>255</v>
      </c>
      <c r="T18" s="211">
        <v>49</v>
      </c>
      <c r="U18" s="52">
        <f>+V18-T18</f>
        <v>69</v>
      </c>
      <c r="V18" s="210">
        <v>118</v>
      </c>
      <c r="W18" s="52">
        <f>+X18-V18</f>
        <v>115</v>
      </c>
      <c r="X18" s="210">
        <v>233</v>
      </c>
      <c r="Y18" s="52">
        <f>+Z18-X18</f>
        <v>22</v>
      </c>
      <c r="Z18" s="237">
        <v>255</v>
      </c>
      <c r="AB18" s="211">
        <v>-37</v>
      </c>
      <c r="AC18" s="52">
        <f>+AD18-AB18</f>
        <v>79</v>
      </c>
      <c r="AD18" s="210">
        <v>42</v>
      </c>
      <c r="AE18" s="52">
        <f>+AF18-AD18</f>
        <v>12</v>
      </c>
      <c r="AF18" s="210">
        <v>54</v>
      </c>
      <c r="AG18" s="52">
        <f>+AH18-AF18</f>
        <v>1025</v>
      </c>
      <c r="AH18" s="237">
        <v>1079</v>
      </c>
      <c r="AJ18" s="211">
        <v>147</v>
      </c>
      <c r="AK18" s="52">
        <f>+AL18-AJ18</f>
        <v>113</v>
      </c>
      <c r="AL18" s="210">
        <v>260</v>
      </c>
      <c r="AM18" s="52">
        <f>+AN18-AL18</f>
        <v>107</v>
      </c>
      <c r="AN18" s="210">
        <v>367</v>
      </c>
      <c r="AO18" s="52">
        <f t="shared" si="3"/>
        <v>138</v>
      </c>
      <c r="AP18" s="237">
        <v>505</v>
      </c>
      <c r="AR18" s="211">
        <v>181</v>
      </c>
      <c r="AS18" s="52">
        <f>+AT18-AR18</f>
        <v>166</v>
      </c>
      <c r="AT18" s="210">
        <v>347</v>
      </c>
      <c r="AU18" s="52">
        <f>+AV18-AT18</f>
        <v>133</v>
      </c>
      <c r="AV18" s="210">
        <v>480</v>
      </c>
      <c r="AW18" s="52">
        <f>+AX18-AV18</f>
        <v>157</v>
      </c>
      <c r="AX18" s="237">
        <v>637</v>
      </c>
      <c r="AZ18" s="211">
        <v>181</v>
      </c>
      <c r="BA18" s="52">
        <f>+BB18-AZ18</f>
        <v>166</v>
      </c>
      <c r="BB18" s="210">
        <v>347</v>
      </c>
      <c r="BC18" s="52">
        <f>+BD18-BB18</f>
        <v>133</v>
      </c>
      <c r="BD18" s="210">
        <v>480</v>
      </c>
      <c r="BE18" s="52">
        <f>+BF18-BD18</f>
        <v>157</v>
      </c>
      <c r="BF18" s="237">
        <v>637</v>
      </c>
      <c r="BH18" s="211">
        <v>133</v>
      </c>
      <c r="BI18" s="52">
        <f>+BJ18-BH18</f>
        <v>146</v>
      </c>
      <c r="BJ18" s="210">
        <v>279</v>
      </c>
      <c r="BK18" s="52">
        <f>+BL18-BJ18</f>
        <v>165</v>
      </c>
      <c r="BL18" s="210">
        <v>444</v>
      </c>
      <c r="BM18" s="52">
        <f>+BN18-BL18</f>
        <v>126</v>
      </c>
      <c r="BN18" s="237">
        <v>570</v>
      </c>
      <c r="BP18" s="211">
        <v>157</v>
      </c>
      <c r="BQ18" s="52">
        <f>+BR18-BP18</f>
        <v>-157</v>
      </c>
      <c r="BR18" s="210"/>
      <c r="BS18" s="52">
        <f>+BT18-BR18</f>
        <v>0</v>
      </c>
      <c r="BT18" s="210"/>
      <c r="BU18" s="52">
        <f>+BV18-BT18</f>
        <v>0</v>
      </c>
      <c r="BV18" s="237"/>
    </row>
    <row r="19" spans="2:74" s="58" customFormat="1" ht="12.75">
      <c r="B19" s="256" t="s">
        <v>490</v>
      </c>
      <c r="D19" s="211"/>
      <c r="E19" s="52"/>
      <c r="F19" s="210"/>
      <c r="G19" s="52"/>
      <c r="H19" s="210"/>
      <c r="I19" s="52"/>
      <c r="J19" s="237"/>
      <c r="L19" s="211"/>
      <c r="M19" s="52"/>
      <c r="N19" s="210"/>
      <c r="O19" s="52"/>
      <c r="P19" s="210"/>
      <c r="Q19" s="52"/>
      <c r="R19" s="237"/>
      <c r="T19" s="211"/>
      <c r="U19" s="52"/>
      <c r="V19" s="210"/>
      <c r="W19" s="52"/>
      <c r="X19" s="210"/>
      <c r="Y19" s="52"/>
      <c r="Z19" s="237"/>
      <c r="AB19" s="211"/>
      <c r="AC19" s="52"/>
      <c r="AD19" s="210"/>
      <c r="AE19" s="52"/>
      <c r="AF19" s="210"/>
      <c r="AG19" s="52"/>
      <c r="AH19" s="237"/>
      <c r="AJ19" s="211"/>
      <c r="AK19" s="52"/>
      <c r="AL19" s="210"/>
      <c r="AM19" s="52"/>
      <c r="AN19" s="210"/>
      <c r="AO19" s="52"/>
      <c r="AP19" s="237"/>
      <c r="AR19" s="211"/>
      <c r="AS19" s="52"/>
      <c r="AT19" s="210"/>
      <c r="AU19" s="52"/>
      <c r="AV19" s="210"/>
      <c r="AW19" s="52"/>
      <c r="AX19" s="237"/>
      <c r="AZ19" s="211"/>
      <c r="BA19" s="52"/>
      <c r="BB19" s="210"/>
      <c r="BC19" s="52"/>
      <c r="BD19" s="210"/>
      <c r="BE19" s="52"/>
      <c r="BF19" s="237"/>
      <c r="BH19" s="211"/>
      <c r="BI19" s="52"/>
      <c r="BJ19" s="210"/>
      <c r="BK19" s="52"/>
      <c r="BL19" s="210"/>
      <c r="BM19" s="52"/>
      <c r="BN19" s="237"/>
      <c r="BP19" s="211"/>
      <c r="BQ19" s="52"/>
      <c r="BR19" s="210"/>
      <c r="BS19" s="52"/>
      <c r="BT19" s="210"/>
      <c r="BU19" s="52"/>
      <c r="BV19" s="237"/>
    </row>
    <row r="20" spans="2:74" s="58" customFormat="1" ht="12.75">
      <c r="B20" s="256" t="s">
        <v>488</v>
      </c>
      <c r="D20" s="211">
        <v>106</v>
      </c>
      <c r="E20" s="52">
        <f>+F20-D20</f>
        <v>108</v>
      </c>
      <c r="F20" s="210">
        <v>214</v>
      </c>
      <c r="G20" s="52">
        <f>+H20-F20</f>
        <v>119</v>
      </c>
      <c r="H20" s="210">
        <v>333</v>
      </c>
      <c r="I20" s="52">
        <f>+J20-H20</f>
        <v>111</v>
      </c>
      <c r="J20" s="237">
        <v>444</v>
      </c>
      <c r="L20" s="211">
        <v>103</v>
      </c>
      <c r="M20" s="52">
        <f>+N20-L20</f>
        <v>113</v>
      </c>
      <c r="N20" s="210">
        <v>216</v>
      </c>
      <c r="O20" s="52">
        <f>+P20-N20</f>
        <v>102</v>
      </c>
      <c r="P20" s="210">
        <v>318</v>
      </c>
      <c r="Q20" s="52">
        <f>+R20-P20</f>
        <v>109</v>
      </c>
      <c r="R20" s="237">
        <v>427</v>
      </c>
      <c r="T20" s="211">
        <v>103</v>
      </c>
      <c r="U20" s="52">
        <f>+V20-T20</f>
        <v>113</v>
      </c>
      <c r="V20" s="210">
        <v>216</v>
      </c>
      <c r="W20" s="52">
        <f>+X20-V20</f>
        <v>102</v>
      </c>
      <c r="X20" s="210">
        <v>318</v>
      </c>
      <c r="Y20" s="52">
        <f>+Z20-X20</f>
        <v>109</v>
      </c>
      <c r="Z20" s="237">
        <v>427</v>
      </c>
      <c r="AB20" s="211">
        <v>65</v>
      </c>
      <c r="AC20" s="52">
        <f>+AD20-AB20</f>
        <v>80</v>
      </c>
      <c r="AD20" s="210">
        <v>145</v>
      </c>
      <c r="AE20" s="52">
        <f>+AF20-AD20</f>
        <v>47</v>
      </c>
      <c r="AF20" s="210">
        <v>192</v>
      </c>
      <c r="AG20" s="52">
        <f>+AH20-AF20</f>
        <v>51</v>
      </c>
      <c r="AH20" s="237">
        <v>243</v>
      </c>
      <c r="AJ20" s="211">
        <v>37</v>
      </c>
      <c r="AK20" s="52">
        <f>+AL20-AJ20</f>
        <v>46</v>
      </c>
      <c r="AL20" s="210">
        <v>83</v>
      </c>
      <c r="AM20" s="52">
        <f>+AN20-AL20</f>
        <v>69</v>
      </c>
      <c r="AN20" s="210">
        <v>152</v>
      </c>
      <c r="AO20" s="52">
        <f t="shared" si="3"/>
        <v>30</v>
      </c>
      <c r="AP20" s="237">
        <v>182</v>
      </c>
      <c r="AR20" s="211">
        <v>60</v>
      </c>
      <c r="AS20" s="52">
        <f>+AT20-AR20</f>
        <v>83</v>
      </c>
      <c r="AT20" s="210">
        <v>143</v>
      </c>
      <c r="AU20" s="52">
        <f>+AV20-AT20</f>
        <v>60</v>
      </c>
      <c r="AV20" s="210">
        <v>203</v>
      </c>
      <c r="AW20" s="52">
        <f>+AX20-AV20</f>
        <v>60</v>
      </c>
      <c r="AX20" s="237">
        <v>263</v>
      </c>
      <c r="AZ20" s="211">
        <v>60</v>
      </c>
      <c r="BA20" s="52">
        <f>+BB20-AZ20</f>
        <v>83</v>
      </c>
      <c r="BB20" s="210">
        <v>143</v>
      </c>
      <c r="BC20" s="52">
        <f>+BD20-BB20</f>
        <v>60</v>
      </c>
      <c r="BD20" s="210">
        <v>203</v>
      </c>
      <c r="BE20" s="52">
        <f>+BF20-BD20</f>
        <v>60</v>
      </c>
      <c r="BF20" s="237">
        <v>263</v>
      </c>
      <c r="BH20" s="211">
        <v>73</v>
      </c>
      <c r="BI20" s="52">
        <f>+BJ20-BH20</f>
        <v>96</v>
      </c>
      <c r="BJ20" s="210">
        <v>169</v>
      </c>
      <c r="BK20" s="52">
        <f>+BL20-BJ20</f>
        <v>114</v>
      </c>
      <c r="BL20" s="210">
        <v>283</v>
      </c>
      <c r="BM20" s="52">
        <f>+BN20-BL20</f>
        <v>84</v>
      </c>
      <c r="BN20" s="237">
        <v>367</v>
      </c>
      <c r="BP20" s="211">
        <v>77</v>
      </c>
      <c r="BQ20" s="52">
        <f>+BR20-BP20</f>
        <v>-77</v>
      </c>
      <c r="BR20" s="210"/>
      <c r="BS20" s="52">
        <f>+BT20-BR20</f>
        <v>0</v>
      </c>
      <c r="BT20" s="210"/>
      <c r="BU20" s="52">
        <f>+BV20-BT20</f>
        <v>0</v>
      </c>
      <c r="BV20" s="237"/>
    </row>
    <row r="21" spans="2:74" s="58" customFormat="1" ht="12.75">
      <c r="B21" s="256" t="s">
        <v>348</v>
      </c>
      <c r="D21" s="211">
        <v>-238</v>
      </c>
      <c r="E21" s="52">
        <f>+F21-D21</f>
        <v>374</v>
      </c>
      <c r="F21" s="210">
        <v>136</v>
      </c>
      <c r="G21" s="52">
        <f>+H21-F21</f>
        <v>-96</v>
      </c>
      <c r="H21" s="210">
        <v>40</v>
      </c>
      <c r="I21" s="52">
        <f>+J21-H21</f>
        <v>-69</v>
      </c>
      <c r="J21" s="237">
        <v>-29</v>
      </c>
      <c r="L21" s="211">
        <v>-54</v>
      </c>
      <c r="M21" s="52">
        <f>+N21-L21</f>
        <v>-44</v>
      </c>
      <c r="N21" s="210">
        <v>-98</v>
      </c>
      <c r="O21" s="52">
        <f>+P21-N21</f>
        <v>13</v>
      </c>
      <c r="P21" s="210">
        <v>-85</v>
      </c>
      <c r="Q21" s="52">
        <f>+R21-P21</f>
        <v>-87</v>
      </c>
      <c r="R21" s="237">
        <v>-172</v>
      </c>
      <c r="T21" s="211">
        <v>-54</v>
      </c>
      <c r="U21" s="52">
        <f>+V21-T21</f>
        <v>-44</v>
      </c>
      <c r="V21" s="210">
        <v>-98</v>
      </c>
      <c r="W21" s="52">
        <f>+X21-V21</f>
        <v>13</v>
      </c>
      <c r="X21" s="210">
        <v>-85</v>
      </c>
      <c r="Y21" s="52">
        <f>+Z21-X21</f>
        <v>-87</v>
      </c>
      <c r="Z21" s="237">
        <v>-172</v>
      </c>
      <c r="AB21" s="211">
        <v>-102</v>
      </c>
      <c r="AC21" s="52">
        <f>+AD21-AB21</f>
        <v>-1</v>
      </c>
      <c r="AD21" s="210">
        <v>-103</v>
      </c>
      <c r="AE21" s="52">
        <f>+AF21-AD21</f>
        <v>-35</v>
      </c>
      <c r="AF21" s="210">
        <v>-138</v>
      </c>
      <c r="AG21" s="52">
        <f>+AH21-AF21</f>
        <v>974</v>
      </c>
      <c r="AH21" s="237">
        <v>836</v>
      </c>
      <c r="AJ21" s="211">
        <v>110</v>
      </c>
      <c r="AK21" s="52">
        <f>+AL21-AJ21</f>
        <v>67</v>
      </c>
      <c r="AL21" s="210">
        <v>177</v>
      </c>
      <c r="AM21" s="52">
        <f>+AN21-AL21</f>
        <v>38</v>
      </c>
      <c r="AN21" s="210">
        <v>215</v>
      </c>
      <c r="AO21" s="52">
        <f>+AP21-AN21</f>
        <v>108</v>
      </c>
      <c r="AP21" s="237">
        <v>323</v>
      </c>
      <c r="AR21" s="211">
        <v>121</v>
      </c>
      <c r="AS21" s="52">
        <f>+AT21-AR21</f>
        <v>83</v>
      </c>
      <c r="AT21" s="210">
        <v>204</v>
      </c>
      <c r="AU21" s="52">
        <f>+AV21-AT21</f>
        <v>73</v>
      </c>
      <c r="AV21" s="210">
        <v>277</v>
      </c>
      <c r="AW21" s="52">
        <f>+AX21-AV21</f>
        <v>97</v>
      </c>
      <c r="AX21" s="237">
        <v>374</v>
      </c>
      <c r="AZ21" s="211">
        <v>121</v>
      </c>
      <c r="BA21" s="52">
        <f>+BB21-AZ21</f>
        <v>83</v>
      </c>
      <c r="BB21" s="210">
        <v>204</v>
      </c>
      <c r="BC21" s="52">
        <f aca="true" t="shared" si="13" ref="BC21:BE22">+BD21-BB21</f>
        <v>73</v>
      </c>
      <c r="BD21" s="210">
        <v>277</v>
      </c>
      <c r="BE21" s="52">
        <f t="shared" si="13"/>
        <v>97</v>
      </c>
      <c r="BF21" s="237">
        <v>374</v>
      </c>
      <c r="BH21" s="211">
        <v>60</v>
      </c>
      <c r="BI21" s="52">
        <f>+BJ21-BH21</f>
        <v>50</v>
      </c>
      <c r="BJ21" s="210">
        <v>110</v>
      </c>
      <c r="BK21" s="52">
        <f>+BL21-BJ21</f>
        <v>51</v>
      </c>
      <c r="BL21" s="210">
        <v>161</v>
      </c>
      <c r="BM21" s="52">
        <f>+BN21-BL21</f>
        <v>42</v>
      </c>
      <c r="BN21" s="237">
        <v>203</v>
      </c>
      <c r="BP21" s="211">
        <v>80</v>
      </c>
      <c r="BQ21" s="52">
        <f>+BR21-BP21</f>
        <v>-80</v>
      </c>
      <c r="BR21" s="210"/>
      <c r="BS21" s="52">
        <f>+BT21-BR21</f>
        <v>0</v>
      </c>
      <c r="BT21" s="210"/>
      <c r="BU21" s="52">
        <f>+BV21-BT21</f>
        <v>0</v>
      </c>
      <c r="BV21" s="237"/>
    </row>
    <row r="22" spans="2:74" s="58" customFormat="1" ht="12.75">
      <c r="B22" s="256" t="s">
        <v>349</v>
      </c>
      <c r="D22" s="211">
        <v>-23</v>
      </c>
      <c r="E22" s="52">
        <f>+F22-D22</f>
        <v>-25</v>
      </c>
      <c r="F22" s="210">
        <v>-48</v>
      </c>
      <c r="G22" s="52">
        <f>+H22-F22</f>
        <v>-21</v>
      </c>
      <c r="H22" s="210">
        <v>-69</v>
      </c>
      <c r="I22" s="52">
        <f>+J22-H22</f>
        <v>-42</v>
      </c>
      <c r="J22" s="237">
        <v>-111</v>
      </c>
      <c r="L22" s="211">
        <v>-21</v>
      </c>
      <c r="M22" s="52">
        <f>+N22-L22</f>
        <v>-38</v>
      </c>
      <c r="N22" s="210">
        <v>-59</v>
      </c>
      <c r="O22" s="52">
        <f>+P22-N22</f>
        <v>-32</v>
      </c>
      <c r="P22" s="210">
        <v>-91</v>
      </c>
      <c r="Q22" s="52">
        <f>+R22-P22</f>
        <v>-40</v>
      </c>
      <c r="R22" s="237">
        <v>-131</v>
      </c>
      <c r="T22" s="211">
        <v>-21</v>
      </c>
      <c r="U22" s="52">
        <f>+V22-T22</f>
        <v>-38</v>
      </c>
      <c r="V22" s="210">
        <v>-59</v>
      </c>
      <c r="W22" s="52">
        <f>+X22-V22</f>
        <v>-32</v>
      </c>
      <c r="X22" s="210">
        <v>-91</v>
      </c>
      <c r="Y22" s="52">
        <f>+Z22-X22</f>
        <v>-40</v>
      </c>
      <c r="Z22" s="237">
        <v>-131</v>
      </c>
      <c r="AB22" s="211">
        <v>-21</v>
      </c>
      <c r="AC22" s="52">
        <f>+AD22-AB22</f>
        <v>-25</v>
      </c>
      <c r="AD22" s="210">
        <v>-46</v>
      </c>
      <c r="AE22" s="52">
        <f>+AF22-AD22</f>
        <v>-23</v>
      </c>
      <c r="AF22" s="210">
        <v>-69</v>
      </c>
      <c r="AG22" s="52">
        <f>+AH22-AF22</f>
        <v>-25</v>
      </c>
      <c r="AH22" s="237">
        <v>-94</v>
      </c>
      <c r="AI22" s="19"/>
      <c r="AJ22" s="211">
        <v>-18</v>
      </c>
      <c r="AK22" s="52">
        <f>+AL22-AJ22</f>
        <v>-24</v>
      </c>
      <c r="AL22" s="210">
        <v>-42</v>
      </c>
      <c r="AM22" s="52">
        <f>+AN22-AL22</f>
        <v>-18</v>
      </c>
      <c r="AN22" s="210">
        <v>-60</v>
      </c>
      <c r="AO22" s="52">
        <f t="shared" si="3"/>
        <v>-34</v>
      </c>
      <c r="AP22" s="237">
        <v>-94</v>
      </c>
      <c r="AR22" s="211">
        <v>-20</v>
      </c>
      <c r="AS22" s="52">
        <f>+AT22-AR22</f>
        <v>-32</v>
      </c>
      <c r="AT22" s="210">
        <v>-52</v>
      </c>
      <c r="AU22" s="52">
        <f>+AV22-AT22</f>
        <v>-13</v>
      </c>
      <c r="AV22" s="210">
        <v>-65</v>
      </c>
      <c r="AW22" s="52">
        <f>+AX22-AV22</f>
        <v>-34</v>
      </c>
      <c r="AX22" s="237">
        <v>-99</v>
      </c>
      <c r="AZ22" s="211">
        <v>-20</v>
      </c>
      <c r="BA22" s="52">
        <f>+BB22-AZ22</f>
        <v>-32</v>
      </c>
      <c r="BB22" s="210">
        <v>-52</v>
      </c>
      <c r="BC22" s="52">
        <f t="shared" si="13"/>
        <v>-13</v>
      </c>
      <c r="BD22" s="210">
        <v>-65</v>
      </c>
      <c r="BE22" s="52">
        <f t="shared" si="13"/>
        <v>-34</v>
      </c>
      <c r="BF22" s="237">
        <v>-99</v>
      </c>
      <c r="BH22" s="211">
        <v>-25</v>
      </c>
      <c r="BI22" s="52">
        <f>+BJ22-BH22</f>
        <v>-29</v>
      </c>
      <c r="BJ22" s="210">
        <v>-54</v>
      </c>
      <c r="BK22" s="52">
        <f>+BL22-BJ22</f>
        <v>-23</v>
      </c>
      <c r="BL22" s="210">
        <v>-77</v>
      </c>
      <c r="BM22" s="52">
        <f>+BN22-BL22</f>
        <v>-28</v>
      </c>
      <c r="BN22" s="237">
        <v>-105</v>
      </c>
      <c r="BP22" s="211">
        <v>-20</v>
      </c>
      <c r="BQ22" s="52">
        <f>+BR22-BP22</f>
        <v>20</v>
      </c>
      <c r="BR22" s="210"/>
      <c r="BS22" s="52">
        <f>+BT22-BR22</f>
        <v>0</v>
      </c>
      <c r="BT22" s="210"/>
      <c r="BU22" s="52">
        <f>+BV22-BT22</f>
        <v>0</v>
      </c>
      <c r="BV22" s="237"/>
    </row>
    <row r="23" spans="2:74" s="61" customFormat="1" ht="13.5" customHeight="1">
      <c r="B23" s="257" t="s">
        <v>472</v>
      </c>
      <c r="D23" s="144">
        <f>SUM(D12:D15)</f>
        <v>-6</v>
      </c>
      <c r="E23" s="59">
        <f aca="true" t="shared" si="14" ref="E23:J23">+E12+E14+E15</f>
        <v>661</v>
      </c>
      <c r="F23" s="59">
        <f t="shared" si="14"/>
        <v>655</v>
      </c>
      <c r="G23" s="59">
        <f t="shared" si="14"/>
        <v>161</v>
      </c>
      <c r="H23" s="59">
        <f t="shared" si="14"/>
        <v>816</v>
      </c>
      <c r="I23" s="23">
        <f t="shared" si="14"/>
        <v>154</v>
      </c>
      <c r="J23" s="125">
        <f t="shared" si="14"/>
        <v>970</v>
      </c>
      <c r="L23" s="144">
        <f>SUM(L12:L15)</f>
        <v>216</v>
      </c>
      <c r="M23" s="59">
        <f aca="true" t="shared" si="15" ref="M23:R23">+M12+M14+M15</f>
        <v>207</v>
      </c>
      <c r="N23" s="59">
        <f t="shared" si="15"/>
        <v>423</v>
      </c>
      <c r="O23" s="59">
        <f t="shared" si="15"/>
        <v>229</v>
      </c>
      <c r="P23" s="59">
        <f t="shared" si="15"/>
        <v>652</v>
      </c>
      <c r="Q23" s="23">
        <f t="shared" si="15"/>
        <v>162</v>
      </c>
      <c r="R23" s="125">
        <f t="shared" si="15"/>
        <v>814</v>
      </c>
      <c r="T23" s="144">
        <f>SUM(T12:T15)</f>
        <v>216</v>
      </c>
      <c r="U23" s="59">
        <f aca="true" t="shared" si="16" ref="U23:Z23">+U12+U14+U15</f>
        <v>207</v>
      </c>
      <c r="V23" s="59">
        <f t="shared" si="16"/>
        <v>423</v>
      </c>
      <c r="W23" s="59">
        <f t="shared" si="16"/>
        <v>229</v>
      </c>
      <c r="X23" s="59">
        <f t="shared" si="16"/>
        <v>652</v>
      </c>
      <c r="Y23" s="23">
        <f t="shared" si="16"/>
        <v>162</v>
      </c>
      <c r="Z23" s="125">
        <f t="shared" si="16"/>
        <v>814</v>
      </c>
      <c r="AB23" s="144">
        <f>SUM(AB12:AB15)</f>
        <v>51</v>
      </c>
      <c r="AC23" s="59">
        <f aca="true" t="shared" si="17" ref="AC23:AH23">+AC12+AC14+AC15</f>
        <v>153</v>
      </c>
      <c r="AD23" s="59">
        <f t="shared" si="17"/>
        <v>204</v>
      </c>
      <c r="AE23" s="59">
        <f t="shared" si="17"/>
        <v>68</v>
      </c>
      <c r="AF23" s="59">
        <f t="shared" si="17"/>
        <v>272</v>
      </c>
      <c r="AG23" s="23">
        <f t="shared" si="17"/>
        <v>989</v>
      </c>
      <c r="AH23" s="125">
        <f t="shared" si="17"/>
        <v>1261</v>
      </c>
      <c r="AJ23" s="144">
        <f>SUM(AJ12:AJ15)</f>
        <v>172</v>
      </c>
      <c r="AK23" s="59">
        <f>SUM(AK12:AK15)</f>
        <v>168</v>
      </c>
      <c r="AL23" s="59">
        <f>SUM(AL12:AL15)</f>
        <v>340</v>
      </c>
      <c r="AM23" s="59">
        <f>SUM(AM12:AM15)</f>
        <v>149</v>
      </c>
      <c r="AN23" s="59">
        <f>SUM(AN12:AN15)</f>
        <v>489</v>
      </c>
      <c r="AO23" s="23">
        <f t="shared" si="3"/>
        <v>164</v>
      </c>
      <c r="AP23" s="125">
        <f>+AP17+AP18+AP22</f>
        <v>653</v>
      </c>
      <c r="AR23" s="144">
        <f>+AR17+AR18+AR22</f>
        <v>229</v>
      </c>
      <c r="AS23" s="59">
        <f aca="true" t="shared" si="18" ref="AS23:AX23">+AS17+AS18+AS22</f>
        <v>197</v>
      </c>
      <c r="AT23" s="59">
        <f t="shared" si="18"/>
        <v>426</v>
      </c>
      <c r="AU23" s="59">
        <f t="shared" si="18"/>
        <v>221</v>
      </c>
      <c r="AV23" s="263">
        <f t="shared" si="18"/>
        <v>647</v>
      </c>
      <c r="AW23" s="59">
        <f t="shared" si="18"/>
        <v>156</v>
      </c>
      <c r="AX23" s="258">
        <f t="shared" si="18"/>
        <v>803</v>
      </c>
      <c r="AZ23" s="144">
        <f aca="true" t="shared" si="19" ref="AZ23:BF23">+AZ17+AZ18+AZ22</f>
        <v>229</v>
      </c>
      <c r="BA23" s="59">
        <f t="shared" si="19"/>
        <v>197</v>
      </c>
      <c r="BB23" s="59">
        <f t="shared" si="19"/>
        <v>426</v>
      </c>
      <c r="BC23" s="59">
        <f t="shared" si="19"/>
        <v>221</v>
      </c>
      <c r="BD23" s="263">
        <f t="shared" si="19"/>
        <v>647</v>
      </c>
      <c r="BE23" s="59">
        <f t="shared" si="19"/>
        <v>156</v>
      </c>
      <c r="BF23" s="258">
        <f t="shared" si="19"/>
        <v>803</v>
      </c>
      <c r="BH23" s="144">
        <f>SUM(BH17,BH18,BH22)</f>
        <v>201</v>
      </c>
      <c r="BI23" s="23">
        <f>+BJ23-BH23</f>
        <v>206</v>
      </c>
      <c r="BJ23" s="59">
        <f>+SUM(BJ17+BJ18+BJ22)</f>
        <v>407</v>
      </c>
      <c r="BK23" s="59">
        <f>+SUM(BK17+BK18+BK22)</f>
        <v>213</v>
      </c>
      <c r="BL23" s="59">
        <f>+SUM(BL17+BL18+BL22)</f>
        <v>620</v>
      </c>
      <c r="BM23" s="59">
        <f>+SUM(BM17+BM18+BM22)</f>
        <v>173</v>
      </c>
      <c r="BN23" s="258">
        <f>+SUM(BN17+BN18+BN22)</f>
        <v>793</v>
      </c>
      <c r="BP23" s="144">
        <f>SUM(BP17,BP18,BP22)</f>
        <v>255</v>
      </c>
      <c r="BQ23" s="23">
        <f>+BR23-BP23</f>
        <v>-255</v>
      </c>
      <c r="BR23" s="59">
        <f>+SUM(BR17+BR18+BR22)</f>
        <v>0</v>
      </c>
      <c r="BS23" s="59">
        <f>+SUM(BS17+BS18+BS22)</f>
        <v>0</v>
      </c>
      <c r="BT23" s="59">
        <f>+SUM(BT17+BT18+BT22)</f>
        <v>0</v>
      </c>
      <c r="BU23" s="59">
        <f>+SUM(BU17+BU18+BU22)</f>
        <v>0</v>
      </c>
      <c r="BV23" s="258">
        <f>+SUM(BV17+BV18+BV22)</f>
        <v>0</v>
      </c>
    </row>
    <row r="24" spans="2:74" s="61" customFormat="1" ht="13.5" customHeight="1">
      <c r="B24" s="257"/>
      <c r="D24" s="144"/>
      <c r="E24" s="59"/>
      <c r="F24" s="59"/>
      <c r="G24" s="59"/>
      <c r="H24" s="59"/>
      <c r="I24" s="23"/>
      <c r="J24" s="125"/>
      <c r="L24" s="144"/>
      <c r="M24" s="59"/>
      <c r="N24" s="59"/>
      <c r="O24" s="59"/>
      <c r="P24" s="59"/>
      <c r="Q24" s="23"/>
      <c r="R24" s="125"/>
      <c r="T24" s="144"/>
      <c r="U24" s="59"/>
      <c r="V24" s="59"/>
      <c r="W24" s="59"/>
      <c r="X24" s="59"/>
      <c r="Y24" s="23"/>
      <c r="Z24" s="125"/>
      <c r="AB24" s="144"/>
      <c r="AC24" s="59"/>
      <c r="AD24" s="59"/>
      <c r="AE24" s="59"/>
      <c r="AF24" s="59"/>
      <c r="AG24" s="23"/>
      <c r="AH24" s="125"/>
      <c r="AJ24" s="144"/>
      <c r="AK24" s="59"/>
      <c r="AL24" s="59"/>
      <c r="AM24" s="59"/>
      <c r="AN24" s="59"/>
      <c r="AO24" s="23"/>
      <c r="AP24" s="125"/>
      <c r="AR24" s="144"/>
      <c r="AS24" s="59"/>
      <c r="AT24" s="59"/>
      <c r="AU24" s="59"/>
      <c r="AV24" s="263"/>
      <c r="AW24" s="23"/>
      <c r="AX24" s="125"/>
      <c r="AZ24" s="144"/>
      <c r="BA24" s="59"/>
      <c r="BB24" s="59"/>
      <c r="BC24" s="59"/>
      <c r="BD24" s="263"/>
      <c r="BE24" s="23"/>
      <c r="BF24" s="125"/>
      <c r="BH24" s="144"/>
      <c r="BI24" s="52"/>
      <c r="BJ24" s="59"/>
      <c r="BK24" s="59"/>
      <c r="BL24" s="263"/>
      <c r="BM24" s="59"/>
      <c r="BN24" s="259"/>
      <c r="BP24" s="144"/>
      <c r="BQ24" s="52"/>
      <c r="BR24" s="59"/>
      <c r="BS24" s="59"/>
      <c r="BT24" s="263"/>
      <c r="BU24" s="59"/>
      <c r="BV24" s="259"/>
    </row>
    <row r="25" spans="2:74" ht="12.75">
      <c r="B25" s="168" t="s">
        <v>275</v>
      </c>
      <c r="D25" s="215">
        <v>-20</v>
      </c>
      <c r="E25" s="52">
        <f>+F25-D25</f>
        <v>2</v>
      </c>
      <c r="F25" s="219">
        <v>-18</v>
      </c>
      <c r="G25" s="52">
        <f>+H25-F25</f>
        <v>9</v>
      </c>
      <c r="H25" s="210">
        <v>-9</v>
      </c>
      <c r="I25" s="52">
        <f>+J25-H25</f>
        <v>0</v>
      </c>
      <c r="J25" s="237">
        <v>-9</v>
      </c>
      <c r="L25" s="215">
        <v>134</v>
      </c>
      <c r="M25" s="52">
        <f>+N25-L25</f>
        <v>23</v>
      </c>
      <c r="N25" s="219">
        <v>157</v>
      </c>
      <c r="O25" s="52">
        <f>+P25-N25</f>
        <v>-37</v>
      </c>
      <c r="P25" s="210">
        <v>120</v>
      </c>
      <c r="Q25" s="52">
        <f>+R25-P25</f>
        <v>130</v>
      </c>
      <c r="R25" s="237">
        <v>250</v>
      </c>
      <c r="T25" s="215">
        <v>134</v>
      </c>
      <c r="U25" s="52">
        <f>+V25-T25</f>
        <v>23</v>
      </c>
      <c r="V25" s="219">
        <v>157</v>
      </c>
      <c r="W25" s="52">
        <f>+X25-V25</f>
        <v>-37</v>
      </c>
      <c r="X25" s="210">
        <v>120</v>
      </c>
      <c r="Y25" s="52">
        <f>+Z25-X25</f>
        <v>130</v>
      </c>
      <c r="Z25" s="237">
        <v>250</v>
      </c>
      <c r="AB25" s="215">
        <v>-13</v>
      </c>
      <c r="AC25" s="52">
        <f>+AD25-AB25</f>
        <v>-35</v>
      </c>
      <c r="AD25" s="219">
        <v>-48</v>
      </c>
      <c r="AE25" s="52">
        <f>+AF25-AD25</f>
        <v>91</v>
      </c>
      <c r="AF25" s="210">
        <v>43</v>
      </c>
      <c r="AG25" s="52">
        <f>+AH25-AF25</f>
        <v>118</v>
      </c>
      <c r="AH25" s="237">
        <v>161</v>
      </c>
      <c r="AJ25" s="215">
        <v>-92</v>
      </c>
      <c r="AK25" s="52">
        <f>+AL25-AJ25</f>
        <v>15</v>
      </c>
      <c r="AL25" s="219">
        <v>-77</v>
      </c>
      <c r="AM25" s="52">
        <f>+AN25-AL25</f>
        <v>-56</v>
      </c>
      <c r="AN25" s="210">
        <v>-133</v>
      </c>
      <c r="AO25" s="52">
        <f t="shared" si="3"/>
        <v>-33</v>
      </c>
      <c r="AP25" s="237">
        <v>-166</v>
      </c>
      <c r="AR25" s="215">
        <v>-98</v>
      </c>
      <c r="AS25" s="52">
        <f>+AT25-AR25</f>
        <v>-63</v>
      </c>
      <c r="AT25" s="219">
        <v>-161</v>
      </c>
      <c r="AU25" s="52">
        <f>+AV25-AT25</f>
        <v>-35</v>
      </c>
      <c r="AV25" s="210">
        <v>-196</v>
      </c>
      <c r="AW25" s="52">
        <f>+AX25-AV25</f>
        <v>-25</v>
      </c>
      <c r="AX25" s="237">
        <v>-221</v>
      </c>
      <c r="AZ25" s="215">
        <v>-98</v>
      </c>
      <c r="BA25" s="52">
        <f>+BB25-AZ25</f>
        <v>-63</v>
      </c>
      <c r="BB25" s="219">
        <v>-161</v>
      </c>
      <c r="BC25" s="52">
        <f aca="true" t="shared" si="20" ref="BC25:BE29">+BD25-BB25</f>
        <v>-35</v>
      </c>
      <c r="BD25" s="210">
        <v>-196</v>
      </c>
      <c r="BE25" s="52">
        <f t="shared" si="20"/>
        <v>-25</v>
      </c>
      <c r="BF25" s="237">
        <v>-221</v>
      </c>
      <c r="BH25" s="215">
        <v>2</v>
      </c>
      <c r="BI25" s="52">
        <f>+BJ25-BH25</f>
        <v>-2</v>
      </c>
      <c r="BJ25" s="219">
        <v>0</v>
      </c>
      <c r="BK25" s="52">
        <f>+BL25-BJ25</f>
        <v>6</v>
      </c>
      <c r="BL25" s="210">
        <v>6</v>
      </c>
      <c r="BM25" s="52">
        <f>+BN25-BL25</f>
        <v>-13</v>
      </c>
      <c r="BN25" s="237">
        <v>-7</v>
      </c>
      <c r="BP25" s="215">
        <v>10</v>
      </c>
      <c r="BQ25" s="52">
        <f>+BR25-BP25</f>
        <v>-10</v>
      </c>
      <c r="BR25" s="219"/>
      <c r="BS25" s="52">
        <f>+BT25-BR25</f>
        <v>0</v>
      </c>
      <c r="BT25" s="210"/>
      <c r="BU25" s="52">
        <f>+BV25-BT25</f>
        <v>0</v>
      </c>
      <c r="BV25" s="237"/>
    </row>
    <row r="26" spans="2:74" ht="12.75">
      <c r="B26" s="168" t="s">
        <v>364</v>
      </c>
      <c r="D26" s="215">
        <v>-116</v>
      </c>
      <c r="E26" s="52">
        <f>+F26-D26</f>
        <v>-121</v>
      </c>
      <c r="F26" s="219">
        <f>-162-42-33</f>
        <v>-237</v>
      </c>
      <c r="G26" s="52">
        <f>+H26-F26</f>
        <v>-123</v>
      </c>
      <c r="H26" s="210">
        <f>-244-63-53</f>
        <v>-360</v>
      </c>
      <c r="I26" s="52">
        <f>+J26-H26</f>
        <v>-176</v>
      </c>
      <c r="J26" s="237">
        <f>-345-84-107</f>
        <v>-536</v>
      </c>
      <c r="L26" s="215">
        <v>-129</v>
      </c>
      <c r="M26" s="52">
        <f>+N26-L26</f>
        <v>-117</v>
      </c>
      <c r="N26" s="219">
        <f>-170-39-37</f>
        <v>-246</v>
      </c>
      <c r="O26" s="52">
        <f>+P26-N26</f>
        <v>-123</v>
      </c>
      <c r="P26" s="210">
        <f>-255-57-57</f>
        <v>-369</v>
      </c>
      <c r="Q26" s="52">
        <f>+R26-P26</f>
        <v>-152</v>
      </c>
      <c r="R26" s="237">
        <f>-354-82-85</f>
        <v>-521</v>
      </c>
      <c r="T26" s="215">
        <f>-86-20-23</f>
        <v>-129</v>
      </c>
      <c r="U26" s="52">
        <f>+V26-T26</f>
        <v>-117</v>
      </c>
      <c r="V26" s="219">
        <f>-170-39-37</f>
        <v>-246</v>
      </c>
      <c r="W26" s="52">
        <f>+X26-V26</f>
        <v>-123</v>
      </c>
      <c r="X26" s="210">
        <v>-369</v>
      </c>
      <c r="Y26" s="52">
        <f>+Z26-X26</f>
        <v>-152</v>
      </c>
      <c r="Z26" s="237">
        <f>-354-67-82-18</f>
        <v>-521</v>
      </c>
      <c r="AB26" s="215">
        <f>-90-16-44</f>
        <v>-150</v>
      </c>
      <c r="AC26" s="52">
        <f>+AD26-AB26</f>
        <v>-139</v>
      </c>
      <c r="AD26" s="219">
        <f>-182-30-77</f>
        <v>-289</v>
      </c>
      <c r="AE26" s="52">
        <f>+AF26-AD26</f>
        <v>-150</v>
      </c>
      <c r="AF26" s="210">
        <f>-269-51-119</f>
        <v>-439</v>
      </c>
      <c r="AG26" s="52">
        <f>+AH26-AF26</f>
        <v>-221</v>
      </c>
      <c r="AH26" s="237">
        <f>-428-139-76-17</f>
        <v>-660</v>
      </c>
      <c r="AJ26" s="215">
        <f>-73-25-13-3</f>
        <v>-114</v>
      </c>
      <c r="AK26" s="52">
        <f aca="true" t="shared" si="21" ref="AK26:AM29">+AL26-AJ26</f>
        <v>-127</v>
      </c>
      <c r="AL26" s="219">
        <f>-166-41-26-8</f>
        <v>-241</v>
      </c>
      <c r="AM26" s="52">
        <f t="shared" si="21"/>
        <v>-119</v>
      </c>
      <c r="AN26" s="210">
        <f>-251-57-40-12</f>
        <v>-360</v>
      </c>
      <c r="AO26" s="52">
        <f t="shared" si="3"/>
        <v>-118</v>
      </c>
      <c r="AP26" s="237">
        <f>-348-68-45-17</f>
        <v>-478</v>
      </c>
      <c r="AR26" s="215">
        <v>-122</v>
      </c>
      <c r="AS26" s="52">
        <f>+AT26-AR26</f>
        <v>-118</v>
      </c>
      <c r="AT26" s="219">
        <v>-240</v>
      </c>
      <c r="AU26" s="52">
        <f>+AV26-AT26</f>
        <v>-121</v>
      </c>
      <c r="AV26" s="210">
        <v>-361</v>
      </c>
      <c r="AW26" s="52">
        <f>+AX26-AV26</f>
        <v>-125</v>
      </c>
      <c r="AX26" s="237">
        <v>-486</v>
      </c>
      <c r="AZ26" s="215">
        <v>-122</v>
      </c>
      <c r="BA26" s="52">
        <f>+BB26-AZ26</f>
        <v>-118</v>
      </c>
      <c r="BB26" s="219">
        <v>-240</v>
      </c>
      <c r="BC26" s="52">
        <f t="shared" si="20"/>
        <v>-121</v>
      </c>
      <c r="BD26" s="210">
        <v>-361</v>
      </c>
      <c r="BE26" s="52">
        <f t="shared" si="20"/>
        <v>-125</v>
      </c>
      <c r="BF26" s="237">
        <f>-486</f>
        <v>-486</v>
      </c>
      <c r="BH26" s="215">
        <v>-104</v>
      </c>
      <c r="BI26" s="52">
        <f>+BJ26-BH26</f>
        <v>-107</v>
      </c>
      <c r="BJ26" s="219">
        <v>-211</v>
      </c>
      <c r="BK26" s="52">
        <f>+BL26-BJ26</f>
        <v>-115</v>
      </c>
      <c r="BL26" s="210">
        <f>-376-BL28</f>
        <v>-326</v>
      </c>
      <c r="BM26" s="52">
        <f>+BN26-BL26</f>
        <v>-138</v>
      </c>
      <c r="BN26" s="237">
        <f>-464</f>
        <v>-464</v>
      </c>
      <c r="BO26" s="286"/>
      <c r="BP26" s="215">
        <v>-112</v>
      </c>
      <c r="BQ26" s="52">
        <f>+BR26-BP26</f>
        <v>112</v>
      </c>
      <c r="BR26" s="219"/>
      <c r="BS26" s="52">
        <f>+BT26-BR26</f>
        <v>0</v>
      </c>
      <c r="BT26" s="210"/>
      <c r="BU26" s="52">
        <f>+BV26-BT26</f>
        <v>0</v>
      </c>
      <c r="BV26" s="237"/>
    </row>
    <row r="27" spans="2:74" ht="12.75">
      <c r="B27" s="488" t="s">
        <v>662</v>
      </c>
      <c r="D27" s="215">
        <v>-15</v>
      </c>
      <c r="E27" s="52">
        <f>+F27-D27</f>
        <v>-13</v>
      </c>
      <c r="F27" s="219">
        <v>-28</v>
      </c>
      <c r="G27" s="52">
        <f>+H27-F27</f>
        <v>-16</v>
      </c>
      <c r="H27" s="210">
        <v>-44</v>
      </c>
      <c r="I27" s="52">
        <f>+J27-H27</f>
        <v>-48</v>
      </c>
      <c r="J27" s="237">
        <v>-92</v>
      </c>
      <c r="L27" s="215">
        <v>-20</v>
      </c>
      <c r="M27" s="52">
        <f>+N27-L27</f>
        <v>-10</v>
      </c>
      <c r="N27" s="219">
        <v>-30</v>
      </c>
      <c r="O27" s="52">
        <f>+P27-N27</f>
        <v>-16</v>
      </c>
      <c r="P27" s="210">
        <v>-46</v>
      </c>
      <c r="Q27" s="52">
        <f>+R27-P27</f>
        <v>-21</v>
      </c>
      <c r="R27" s="237">
        <v>-67</v>
      </c>
      <c r="T27" s="215">
        <v>-20</v>
      </c>
      <c r="U27" s="52">
        <f>+V27-T27</f>
        <v>-10</v>
      </c>
      <c r="V27" s="219">
        <v>-30</v>
      </c>
      <c r="W27" s="52">
        <f>+X27-V27</f>
        <v>-16</v>
      </c>
      <c r="X27" s="210">
        <v>-46</v>
      </c>
      <c r="Y27" s="52">
        <f>+Z27-X27</f>
        <v>-21</v>
      </c>
      <c r="Z27" s="237">
        <v>-67</v>
      </c>
      <c r="AB27" s="215">
        <v>-41</v>
      </c>
      <c r="AC27" s="52">
        <f>+AD27-AB27</f>
        <v>-28</v>
      </c>
      <c r="AD27" s="219">
        <v>-69</v>
      </c>
      <c r="AE27" s="52">
        <f>+AF27-AD27</f>
        <v>-37</v>
      </c>
      <c r="AF27" s="210">
        <v>-106</v>
      </c>
      <c r="AG27" s="52">
        <f>+AH27-AF27</f>
        <v>-33</v>
      </c>
      <c r="AH27" s="237">
        <v>-139</v>
      </c>
      <c r="AJ27" s="215">
        <v>-25</v>
      </c>
      <c r="AK27" s="52">
        <f t="shared" si="21"/>
        <v>-16</v>
      </c>
      <c r="AL27" s="219">
        <v>-41</v>
      </c>
      <c r="AM27" s="52">
        <f t="shared" si="21"/>
        <v>-16</v>
      </c>
      <c r="AN27" s="210">
        <v>-57</v>
      </c>
      <c r="AO27" s="52">
        <f t="shared" si="3"/>
        <v>-11</v>
      </c>
      <c r="AP27" s="237">
        <v>-68</v>
      </c>
      <c r="AR27" s="215">
        <v>-30</v>
      </c>
      <c r="AS27" s="52">
        <f>+AT27-AR27</f>
        <v>-12</v>
      </c>
      <c r="AT27" s="219">
        <v>-42</v>
      </c>
      <c r="AU27" s="52">
        <f>+AV27-AT27</f>
        <v>-18</v>
      </c>
      <c r="AV27" s="210">
        <v>-60</v>
      </c>
      <c r="AW27" s="52">
        <f>+AX27-AV27</f>
        <v>-20</v>
      </c>
      <c r="AX27" s="237">
        <v>-80</v>
      </c>
      <c r="AZ27" s="215">
        <v>-30</v>
      </c>
      <c r="BA27" s="52">
        <f>+BB27-AZ27</f>
        <v>-12</v>
      </c>
      <c r="BB27" s="219">
        <v>-42</v>
      </c>
      <c r="BC27" s="52">
        <f t="shared" si="20"/>
        <v>-18</v>
      </c>
      <c r="BD27" s="210">
        <v>-60</v>
      </c>
      <c r="BE27" s="52">
        <f t="shared" si="20"/>
        <v>-20</v>
      </c>
      <c r="BF27" s="237">
        <v>-80</v>
      </c>
      <c r="BH27" s="215">
        <v>-3</v>
      </c>
      <c r="BI27" s="52">
        <f>+BJ27-BH27</f>
        <v>-8</v>
      </c>
      <c r="BJ27" s="219">
        <v>-11</v>
      </c>
      <c r="BK27" s="52">
        <f>+BL27-BJ27</f>
        <v>-5</v>
      </c>
      <c r="BL27" s="210">
        <v>-16</v>
      </c>
      <c r="BM27" s="52">
        <f>+BN27-BL27</f>
        <v>-13</v>
      </c>
      <c r="BN27" s="237">
        <v>-29</v>
      </c>
      <c r="BO27" s="286"/>
      <c r="BP27" s="215">
        <v>-4</v>
      </c>
      <c r="BQ27" s="52">
        <f>+BR27-BP27</f>
        <v>4</v>
      </c>
      <c r="BR27" s="219"/>
      <c r="BS27" s="52">
        <f>+BT27-BR27</f>
        <v>0</v>
      </c>
      <c r="BT27" s="210"/>
      <c r="BU27" s="52">
        <f>+BV27-BT27</f>
        <v>0</v>
      </c>
      <c r="BV27" s="237"/>
    </row>
    <row r="28" spans="2:74" ht="12.75">
      <c r="B28" s="168" t="s">
        <v>365</v>
      </c>
      <c r="D28" s="215">
        <v>-2</v>
      </c>
      <c r="E28" s="52">
        <f>+F28-D28</f>
        <v>-47</v>
      </c>
      <c r="F28" s="219">
        <f>-46-3</f>
        <v>-49</v>
      </c>
      <c r="G28" s="52">
        <f>+H28-F28</f>
        <v>1</v>
      </c>
      <c r="H28" s="210">
        <f>-46-2</f>
        <v>-48</v>
      </c>
      <c r="I28" s="52">
        <f>+J28-H28</f>
        <v>-52</v>
      </c>
      <c r="J28" s="237">
        <f>-95-5</f>
        <v>-100</v>
      </c>
      <c r="L28" s="215">
        <v>-1</v>
      </c>
      <c r="M28" s="52">
        <f>+N28-L28</f>
        <v>0</v>
      </c>
      <c r="N28" s="219">
        <v>-1</v>
      </c>
      <c r="O28" s="52">
        <f>+P28-N28</f>
        <v>0</v>
      </c>
      <c r="P28" s="210">
        <v>-1</v>
      </c>
      <c r="Q28" s="52">
        <f>+R28-P28</f>
        <v>-239</v>
      </c>
      <c r="R28" s="237">
        <f>-40-39-161</f>
        <v>-240</v>
      </c>
      <c r="T28" s="215">
        <v>-1</v>
      </c>
      <c r="U28" s="52">
        <f>+V28-T28</f>
        <v>0</v>
      </c>
      <c r="V28" s="219">
        <v>-1</v>
      </c>
      <c r="W28" s="52">
        <f>+X28-V28</f>
        <v>0</v>
      </c>
      <c r="X28" s="210">
        <v>-1</v>
      </c>
      <c r="Y28" s="52">
        <f>+Z28-X28</f>
        <v>-239</v>
      </c>
      <c r="Z28" s="237">
        <f>-40-39-161</f>
        <v>-240</v>
      </c>
      <c r="AB28" s="215">
        <v>0</v>
      </c>
      <c r="AC28" s="52">
        <f>+AD28-AB28</f>
        <v>-11</v>
      </c>
      <c r="AD28" s="219">
        <v>-11</v>
      </c>
      <c r="AE28" s="52">
        <f>+AF28-AD28</f>
        <v>0</v>
      </c>
      <c r="AF28" s="210">
        <v>-11</v>
      </c>
      <c r="AG28" s="52">
        <f>+AH28-AF28</f>
        <v>-1523</v>
      </c>
      <c r="AH28" s="237">
        <f>-656-219-2-657</f>
        <v>-1534</v>
      </c>
      <c r="AJ28" s="215">
        <v>0</v>
      </c>
      <c r="AK28" s="52"/>
      <c r="AL28" s="219">
        <v>0</v>
      </c>
      <c r="AM28" s="52"/>
      <c r="AN28" s="210">
        <v>0</v>
      </c>
      <c r="AO28" s="52"/>
      <c r="AP28" s="237">
        <f>-219-37</f>
        <v>-256</v>
      </c>
      <c r="AR28" s="215"/>
      <c r="AS28" s="52"/>
      <c r="AT28" s="219">
        <v>0</v>
      </c>
      <c r="AU28" s="52">
        <f>+AV28-AT28</f>
        <v>0</v>
      </c>
      <c r="AV28" s="210">
        <v>0</v>
      </c>
      <c r="AW28" s="52">
        <f>+AX28-AV28</f>
        <v>-169</v>
      </c>
      <c r="AX28" s="237">
        <v>-169</v>
      </c>
      <c r="AZ28" s="215">
        <v>0</v>
      </c>
      <c r="BA28" s="52"/>
      <c r="BB28" s="219">
        <v>0</v>
      </c>
      <c r="BC28" s="52">
        <f t="shared" si="20"/>
        <v>0</v>
      </c>
      <c r="BD28" s="210">
        <v>0</v>
      </c>
      <c r="BE28" s="52">
        <f t="shared" si="20"/>
        <v>-169</v>
      </c>
      <c r="BF28" s="237">
        <v>-169</v>
      </c>
      <c r="BH28" s="215">
        <v>-2</v>
      </c>
      <c r="BI28" s="52">
        <f>+BJ28-BH28</f>
        <v>-21</v>
      </c>
      <c r="BJ28" s="219">
        <v>-23</v>
      </c>
      <c r="BK28" s="52">
        <f>+BL28-BJ28</f>
        <v>-27</v>
      </c>
      <c r="BL28" s="210">
        <v>-50</v>
      </c>
      <c r="BM28" s="52">
        <f>+BN28-BL28</f>
        <v>-50</v>
      </c>
      <c r="BN28" s="237">
        <v>-100</v>
      </c>
      <c r="BP28" s="215">
        <v>0</v>
      </c>
      <c r="BQ28" s="52">
        <f>+BR28-BP28</f>
        <v>0</v>
      </c>
      <c r="BR28" s="219"/>
      <c r="BS28" s="52">
        <f>+BT28-BR28</f>
        <v>0</v>
      </c>
      <c r="BT28" s="210"/>
      <c r="BU28" s="52">
        <f>+BV28-BT28</f>
        <v>0</v>
      </c>
      <c r="BV28" s="237"/>
    </row>
    <row r="29" spans="2:74" ht="12.75">
      <c r="B29" s="168" t="s">
        <v>276</v>
      </c>
      <c r="D29" s="215"/>
      <c r="E29" s="52"/>
      <c r="F29" s="219"/>
      <c r="G29" s="52"/>
      <c r="H29" s="210"/>
      <c r="I29" s="52">
        <f>+J29-H29</f>
        <v>-4</v>
      </c>
      <c r="J29" s="237">
        <v>-4</v>
      </c>
      <c r="L29" s="215"/>
      <c r="M29" s="52"/>
      <c r="N29" s="219"/>
      <c r="O29" s="52"/>
      <c r="P29" s="210"/>
      <c r="Q29" s="52">
        <f>+R29-P29</f>
        <v>-11</v>
      </c>
      <c r="R29" s="237">
        <v>-11</v>
      </c>
      <c r="T29" s="215">
        <v>-2</v>
      </c>
      <c r="U29" s="52">
        <f>+V29-T29</f>
        <v>-7</v>
      </c>
      <c r="V29" s="219">
        <v>-9</v>
      </c>
      <c r="W29" s="52">
        <f>+X29-V29</f>
        <v>-6</v>
      </c>
      <c r="X29" s="210">
        <v>-15</v>
      </c>
      <c r="Y29" s="52">
        <f>+Z29-X29</f>
        <v>4</v>
      </c>
      <c r="Z29" s="237">
        <v>-11</v>
      </c>
      <c r="AB29" s="215">
        <v>-7</v>
      </c>
      <c r="AC29" s="52">
        <f>+AD29-AB29</f>
        <v>-4</v>
      </c>
      <c r="AD29" s="219">
        <v>-11</v>
      </c>
      <c r="AE29" s="52">
        <f>+AF29-AD29</f>
        <v>-11</v>
      </c>
      <c r="AF29" s="210">
        <v>-22</v>
      </c>
      <c r="AG29" s="52">
        <f>+AH29-AF29</f>
        <v>-1</v>
      </c>
      <c r="AH29" s="237">
        <v>-23</v>
      </c>
      <c r="AJ29" s="215">
        <v>0</v>
      </c>
      <c r="AK29" s="52">
        <f t="shared" si="21"/>
        <v>-1</v>
      </c>
      <c r="AL29" s="219">
        <v>-1</v>
      </c>
      <c r="AM29" s="52">
        <f t="shared" si="21"/>
        <v>-5</v>
      </c>
      <c r="AN29" s="210">
        <v>-6</v>
      </c>
      <c r="AO29" s="52">
        <f t="shared" si="3"/>
        <v>-7</v>
      </c>
      <c r="AP29" s="237">
        <v>-13</v>
      </c>
      <c r="AR29" s="215">
        <v>-1</v>
      </c>
      <c r="AS29" s="52">
        <f>+AT29-AR29</f>
        <v>-5</v>
      </c>
      <c r="AT29" s="219">
        <v>-6</v>
      </c>
      <c r="AU29" s="52">
        <f>+AV29-AT29</f>
        <v>0</v>
      </c>
      <c r="AV29" s="210">
        <v>-6</v>
      </c>
      <c r="AW29" s="52">
        <f>+AX29-AV29</f>
        <v>121</v>
      </c>
      <c r="AX29" s="237">
        <v>115</v>
      </c>
      <c r="AZ29" s="215">
        <v>-1</v>
      </c>
      <c r="BA29" s="52">
        <f>+BB29-AZ29</f>
        <v>-5</v>
      </c>
      <c r="BB29" s="219">
        <v>-6</v>
      </c>
      <c r="BC29" s="52">
        <f t="shared" si="20"/>
        <v>0</v>
      </c>
      <c r="BD29" s="210">
        <v>-6</v>
      </c>
      <c r="BE29" s="52">
        <f t="shared" si="20"/>
        <v>121</v>
      </c>
      <c r="BF29" s="237">
        <f>146-31</f>
        <v>115</v>
      </c>
      <c r="BH29" s="215">
        <v>-2</v>
      </c>
      <c r="BI29" s="52">
        <f>+BJ29-BH29</f>
        <v>-11</v>
      </c>
      <c r="BJ29" s="219">
        <v>-13</v>
      </c>
      <c r="BK29" s="52">
        <f>+BL29-BJ29</f>
        <v>-2</v>
      </c>
      <c r="BL29" s="210">
        <v>-15</v>
      </c>
      <c r="BM29" s="52">
        <f>+BN29-BL29</f>
        <v>-8</v>
      </c>
      <c r="BN29" s="237">
        <f>-23-0</f>
        <v>-23</v>
      </c>
      <c r="BP29" s="215">
        <v>-3</v>
      </c>
      <c r="BQ29" s="52">
        <f>+BR29-BP29</f>
        <v>3</v>
      </c>
      <c r="BR29" s="219"/>
      <c r="BS29" s="52">
        <f>+BT29-BR29</f>
        <v>0</v>
      </c>
      <c r="BT29" s="210"/>
      <c r="BU29" s="52">
        <f>+BV29-BT29</f>
        <v>0</v>
      </c>
      <c r="BV29" s="237"/>
    </row>
    <row r="30" spans="2:74" ht="12.75">
      <c r="B30" s="168"/>
      <c r="D30" s="161"/>
      <c r="E30" s="52"/>
      <c r="G30" s="52"/>
      <c r="I30" s="52"/>
      <c r="J30" s="237"/>
      <c r="L30" s="161"/>
      <c r="M30" s="52"/>
      <c r="O30" s="52"/>
      <c r="Q30" s="52"/>
      <c r="R30" s="237"/>
      <c r="T30" s="161"/>
      <c r="U30" s="52"/>
      <c r="W30" s="52"/>
      <c r="Y30" s="52"/>
      <c r="Z30" s="237"/>
      <c r="AB30" s="161"/>
      <c r="AC30" s="52"/>
      <c r="AE30" s="52"/>
      <c r="AG30" s="52"/>
      <c r="AH30" s="237"/>
      <c r="AJ30" s="161"/>
      <c r="AK30" s="52"/>
      <c r="AM30" s="52"/>
      <c r="AO30" s="52"/>
      <c r="AP30" s="237"/>
      <c r="AR30" s="161"/>
      <c r="AS30" s="52"/>
      <c r="AU30" s="52"/>
      <c r="AV30" s="164"/>
      <c r="AW30" s="52"/>
      <c r="AX30" s="237"/>
      <c r="AZ30" s="161"/>
      <c r="BA30" s="52"/>
      <c r="BC30" s="52"/>
      <c r="BD30" s="164"/>
      <c r="BE30" s="52"/>
      <c r="BF30" s="237"/>
      <c r="BH30" s="161"/>
      <c r="BI30" s="52"/>
      <c r="BK30" s="52"/>
      <c r="BL30" s="164"/>
      <c r="BM30" s="52"/>
      <c r="BN30" s="237"/>
      <c r="BP30" s="161"/>
      <c r="BQ30" s="52"/>
      <c r="BS30" s="52"/>
      <c r="BT30" s="164"/>
      <c r="BU30" s="52"/>
      <c r="BV30" s="237"/>
    </row>
    <row r="31" spans="2:74" s="61" customFormat="1" ht="13.5" customHeight="1">
      <c r="B31" s="135" t="s">
        <v>119</v>
      </c>
      <c r="D31" s="144">
        <f>+SUM(D23:D26,D28:D29)</f>
        <v>-144</v>
      </c>
      <c r="E31" s="23">
        <f>+F31-D31</f>
        <v>495</v>
      </c>
      <c r="F31" s="59">
        <f>+SUM(F23:F26,F28:F29)</f>
        <v>351</v>
      </c>
      <c r="G31" s="23">
        <f>+H31-F31</f>
        <v>48</v>
      </c>
      <c r="H31" s="59">
        <f>+SUM(H23:H26,H28:H29)</f>
        <v>399</v>
      </c>
      <c r="I31" s="23">
        <f>+J31-H31</f>
        <v>-78</v>
      </c>
      <c r="J31" s="258">
        <f>+SUM(J23:J26,J28:J29)</f>
        <v>321</v>
      </c>
      <c r="L31" s="144">
        <f>+SUM(L23:L26,L28:L29)</f>
        <v>220</v>
      </c>
      <c r="M31" s="23">
        <f>+N31-L31</f>
        <v>113</v>
      </c>
      <c r="N31" s="59">
        <f>+SUM(N23:N26,N28:N29)</f>
        <v>333</v>
      </c>
      <c r="O31" s="23">
        <f>+P31-N31</f>
        <v>69</v>
      </c>
      <c r="P31" s="59">
        <f>+SUM(P23:P26,P28:P29)</f>
        <v>402</v>
      </c>
      <c r="Q31" s="23">
        <f>+R31-P31</f>
        <v>-110</v>
      </c>
      <c r="R31" s="258">
        <f>+SUM(R23:R26,R28:R29)</f>
        <v>292</v>
      </c>
      <c r="T31" s="144">
        <f>+SUM(T23:T26,T28:T29)</f>
        <v>218</v>
      </c>
      <c r="U31" s="23">
        <f>+V31-T31</f>
        <v>106</v>
      </c>
      <c r="V31" s="59">
        <f>+SUM(V23:V26,V28:V29)</f>
        <v>324</v>
      </c>
      <c r="W31" s="23">
        <f>+X31-V31</f>
        <v>63</v>
      </c>
      <c r="X31" s="59">
        <f>+SUM(X23:X26,X28:X29)</f>
        <v>387</v>
      </c>
      <c r="Y31" s="23">
        <f>+Z31-X31</f>
        <v>-95</v>
      </c>
      <c r="Z31" s="258">
        <f>+SUM(Z23:Z26,Z28:Z29)</f>
        <v>292</v>
      </c>
      <c r="AB31" s="144">
        <f>+SUM(AB23:AB26,AB28:AB29)</f>
        <v>-119</v>
      </c>
      <c r="AC31" s="23">
        <f>+AD31-AB31</f>
        <v>-36</v>
      </c>
      <c r="AD31" s="59">
        <f>+SUM(AD23:AD26,AD28:AD29)</f>
        <v>-155</v>
      </c>
      <c r="AE31" s="23">
        <f>+AF31-AD31</f>
        <v>-2</v>
      </c>
      <c r="AF31" s="59">
        <f>+SUM(AF23:AF26,AF28:AF29)</f>
        <v>-157</v>
      </c>
      <c r="AG31" s="23">
        <f>+AH31-AF31</f>
        <v>-638</v>
      </c>
      <c r="AH31" s="258">
        <f>+SUM(AH23:AH26,AH28:AH29)</f>
        <v>-795</v>
      </c>
      <c r="AJ31" s="144">
        <f>+SUM(AJ23:AJ26,AJ28:AJ29)</f>
        <v>-34</v>
      </c>
      <c r="AK31" s="23">
        <f>+AL31-AJ31</f>
        <v>55</v>
      </c>
      <c r="AL31" s="59">
        <f>+SUM(AL23:AL26,AL28:AL29)</f>
        <v>21</v>
      </c>
      <c r="AM31" s="23">
        <f>+AN31-AL31</f>
        <v>-31</v>
      </c>
      <c r="AN31" s="59">
        <f>+SUM(AN23:AN26,AN28:AN29)</f>
        <v>-10</v>
      </c>
      <c r="AO31" s="23">
        <f>+AP31-AN31</f>
        <v>-250</v>
      </c>
      <c r="AP31" s="258">
        <f>+SUM(AP23:AP26,AP28:AP29)</f>
        <v>-260</v>
      </c>
      <c r="AR31" s="144">
        <f>+SUM(AR23:AR26,AR28:AR29)</f>
        <v>8</v>
      </c>
      <c r="AS31" s="23">
        <f>+AT31-AR31</f>
        <v>11</v>
      </c>
      <c r="AT31" s="59">
        <f>+SUM(AT23:AT26,AT28:AT29)</f>
        <v>19</v>
      </c>
      <c r="AU31" s="23">
        <f>+AV31-AT31</f>
        <v>65</v>
      </c>
      <c r="AV31" s="59">
        <f>+SUM(AV23:AV26,AV28:AV29)</f>
        <v>84</v>
      </c>
      <c r="AW31" s="23">
        <f>+AX31-AV31</f>
        <v>-42</v>
      </c>
      <c r="AX31" s="258">
        <f>+SUM(AX23:AX26,AX28:AX29)</f>
        <v>42</v>
      </c>
      <c r="AZ31" s="144">
        <f>+SUM(AZ23:AZ26,AZ28:AZ29)</f>
        <v>8</v>
      </c>
      <c r="BA31" s="23">
        <f>+BB31-AZ31</f>
        <v>11</v>
      </c>
      <c r="BB31" s="59">
        <f>+SUM(BB23:BB26,BB28:BB29)</f>
        <v>19</v>
      </c>
      <c r="BC31" s="23">
        <f>+BD31-BB31</f>
        <v>65</v>
      </c>
      <c r="BD31" s="59">
        <f>+SUM(BD23:BD26,BD28:BD29)</f>
        <v>84</v>
      </c>
      <c r="BE31" s="23">
        <f>+BF31-BD31</f>
        <v>-42</v>
      </c>
      <c r="BF31" s="258">
        <f>+SUM(BF23:BF26,BF28:BF29)</f>
        <v>42</v>
      </c>
      <c r="BH31" s="144">
        <f>BH23+BH25+BH26+BH29+BH28</f>
        <v>95</v>
      </c>
      <c r="BI31" s="23">
        <f>+BJ31-BH31</f>
        <v>65</v>
      </c>
      <c r="BJ31" s="59">
        <f>+BJ23+BJ25+BJ26+BJ29+BJ28</f>
        <v>160</v>
      </c>
      <c r="BK31" s="23">
        <f>+BL31-BJ31</f>
        <v>75</v>
      </c>
      <c r="BL31" s="59">
        <f>+BL23+BL25+BL26+BL29+BL28</f>
        <v>235</v>
      </c>
      <c r="BM31" s="23">
        <f>+BN31-BL31</f>
        <v>-36</v>
      </c>
      <c r="BN31" s="258">
        <f>+BN23+BN25+BN26+BN29+BN28</f>
        <v>199</v>
      </c>
      <c r="BP31" s="144">
        <f>BP23+BP25+BP26+BP29+BP28</f>
        <v>150</v>
      </c>
      <c r="BQ31" s="23">
        <f>+BR31-BP31</f>
        <v>-150</v>
      </c>
      <c r="BR31" s="59">
        <f>+BR23+BR25+BR26+BR29+BR28</f>
        <v>0</v>
      </c>
      <c r="BS31" s="23">
        <f>+BT31-BR31</f>
        <v>0</v>
      </c>
      <c r="BT31" s="59">
        <f>+BT23+BT25+BT26+BT29+BT28</f>
        <v>0</v>
      </c>
      <c r="BU31" s="23">
        <f>+BV31-BT31</f>
        <v>0</v>
      </c>
      <c r="BV31" s="258">
        <f>+BV23+BV25+BV26+BV29+BV28</f>
        <v>0</v>
      </c>
    </row>
    <row r="32" spans="2:74" s="61" customFormat="1" ht="13.5" customHeight="1">
      <c r="B32" s="135"/>
      <c r="D32" s="144"/>
      <c r="E32" s="59"/>
      <c r="F32" s="59"/>
      <c r="G32" s="59"/>
      <c r="H32" s="59"/>
      <c r="I32" s="52"/>
      <c r="J32" s="125"/>
      <c r="L32" s="144"/>
      <c r="M32" s="59"/>
      <c r="N32" s="59"/>
      <c r="O32" s="59"/>
      <c r="P32" s="59"/>
      <c r="Q32" s="52"/>
      <c r="R32" s="125"/>
      <c r="T32" s="144"/>
      <c r="U32" s="59"/>
      <c r="V32" s="59"/>
      <c r="W32" s="59"/>
      <c r="X32" s="59"/>
      <c r="Y32" s="52"/>
      <c r="Z32" s="125"/>
      <c r="AB32" s="144"/>
      <c r="AC32" s="59"/>
      <c r="AD32" s="59"/>
      <c r="AE32" s="59"/>
      <c r="AF32" s="59"/>
      <c r="AG32" s="52"/>
      <c r="AH32" s="125"/>
      <c r="AJ32" s="144"/>
      <c r="AK32" s="59"/>
      <c r="AL32" s="59"/>
      <c r="AM32" s="59"/>
      <c r="AN32" s="59"/>
      <c r="AO32" s="52"/>
      <c r="AP32" s="125"/>
      <c r="AR32" s="144"/>
      <c r="AS32" s="59"/>
      <c r="AT32" s="59"/>
      <c r="AU32" s="59"/>
      <c r="AV32" s="263"/>
      <c r="AW32" s="52"/>
      <c r="AX32" s="125"/>
      <c r="AZ32" s="144"/>
      <c r="BA32" s="59"/>
      <c r="BB32" s="59"/>
      <c r="BC32" s="59"/>
      <c r="BD32" s="263"/>
      <c r="BE32" s="52"/>
      <c r="BF32" s="125"/>
      <c r="BH32" s="144"/>
      <c r="BI32" s="52">
        <f aca="true" t="shared" si="22" ref="BI32:BI42">+BJ32-BH32</f>
        <v>0</v>
      </c>
      <c r="BJ32" s="59"/>
      <c r="BK32" s="59"/>
      <c r="BL32" s="263"/>
      <c r="BM32" s="59"/>
      <c r="BN32" s="259"/>
      <c r="BP32" s="144"/>
      <c r="BQ32" s="52">
        <f aca="true" t="shared" si="23" ref="BQ32:BQ42">+BR32-BP32</f>
        <v>0</v>
      </c>
      <c r="BR32" s="59"/>
      <c r="BS32" s="59"/>
      <c r="BT32" s="263"/>
      <c r="BU32" s="59"/>
      <c r="BV32" s="259"/>
    </row>
    <row r="33" spans="2:74" s="58" customFormat="1" ht="11.25" customHeight="1">
      <c r="B33" s="133" t="s">
        <v>120</v>
      </c>
      <c r="D33" s="213">
        <v>-4</v>
      </c>
      <c r="E33" s="52">
        <f>+F33-D33</f>
        <v>-35</v>
      </c>
      <c r="F33" s="170">
        <v>-39</v>
      </c>
      <c r="G33" s="19">
        <f>+H33-F33</f>
        <v>-32</v>
      </c>
      <c r="H33" s="212">
        <v>-71</v>
      </c>
      <c r="I33" s="52">
        <f>+J33-H33</f>
        <v>-41</v>
      </c>
      <c r="J33" s="237">
        <v>-112</v>
      </c>
      <c r="L33" s="213">
        <v>-32</v>
      </c>
      <c r="M33" s="52">
        <f>+N33-L33</f>
        <v>-50</v>
      </c>
      <c r="N33" s="170">
        <v>-82</v>
      </c>
      <c r="O33" s="19">
        <f>+P33-N33</f>
        <v>-17</v>
      </c>
      <c r="P33" s="212">
        <v>-99</v>
      </c>
      <c r="Q33" s="52">
        <f>+R33-P33</f>
        <v>8</v>
      </c>
      <c r="R33" s="237">
        <v>-91</v>
      </c>
      <c r="T33" s="213">
        <v>-32</v>
      </c>
      <c r="U33" s="52">
        <f>+V33-T33</f>
        <v>-50</v>
      </c>
      <c r="V33" s="170">
        <v>-82</v>
      </c>
      <c r="W33" s="19">
        <f>+X33-V33</f>
        <v>-17</v>
      </c>
      <c r="X33" s="212">
        <v>-99</v>
      </c>
      <c r="Y33" s="52">
        <f>+Z33-X33</f>
        <v>8</v>
      </c>
      <c r="Z33" s="237">
        <v>-91</v>
      </c>
      <c r="AB33" s="213">
        <v>31</v>
      </c>
      <c r="AC33" s="52">
        <f>+AD33-AB33</f>
        <v>-25</v>
      </c>
      <c r="AD33" s="170">
        <v>6</v>
      </c>
      <c r="AE33" s="19">
        <f>+AF33-AD33</f>
        <v>-28</v>
      </c>
      <c r="AF33" s="212">
        <v>-22</v>
      </c>
      <c r="AG33" s="52">
        <f>+AH33-AF33</f>
        <v>-7</v>
      </c>
      <c r="AH33" s="237">
        <v>-29</v>
      </c>
      <c r="AJ33" s="213">
        <v>-30</v>
      </c>
      <c r="AK33" s="52">
        <f>+AL33-AJ33</f>
        <v>-30</v>
      </c>
      <c r="AL33" s="170">
        <v>-60</v>
      </c>
      <c r="AM33" s="19">
        <f>+AN33-AL33</f>
        <v>-9</v>
      </c>
      <c r="AN33" s="212">
        <v>-69</v>
      </c>
      <c r="AO33" s="52">
        <f t="shared" si="3"/>
        <v>-25</v>
      </c>
      <c r="AP33" s="237">
        <v>-94</v>
      </c>
      <c r="AR33" s="213">
        <v>-13</v>
      </c>
      <c r="AS33" s="52">
        <f>+AT33-AR33</f>
        <v>-20</v>
      </c>
      <c r="AT33" s="170">
        <v>-33</v>
      </c>
      <c r="AU33" s="19">
        <f>+AV33-AT33</f>
        <v>-13</v>
      </c>
      <c r="AV33" s="212">
        <v>-46</v>
      </c>
      <c r="AW33" s="52">
        <f aca="true" t="shared" si="24" ref="AW33:AW42">+AX33-AV33</f>
        <v>-6</v>
      </c>
      <c r="AX33" s="237">
        <v>-52</v>
      </c>
      <c r="AZ33" s="213">
        <v>-13</v>
      </c>
      <c r="BA33" s="52">
        <f>+BB33-AZ33</f>
        <v>-20</v>
      </c>
      <c r="BB33" s="170">
        <v>-33</v>
      </c>
      <c r="BC33" s="52">
        <f aca="true" t="shared" si="25" ref="BC33:BE34">+BD33-BB33</f>
        <v>-13</v>
      </c>
      <c r="BD33" s="212">
        <v>-46</v>
      </c>
      <c r="BE33" s="52">
        <f t="shared" si="25"/>
        <v>-6</v>
      </c>
      <c r="BF33" s="237">
        <f>-12-33-7</f>
        <v>-52</v>
      </c>
      <c r="BH33" s="213">
        <v>-16</v>
      </c>
      <c r="BI33" s="52">
        <f t="shared" si="22"/>
        <v>1</v>
      </c>
      <c r="BJ33" s="170">
        <v>-15</v>
      </c>
      <c r="BK33" s="52">
        <f>+BL33-BJ33</f>
        <v>-7</v>
      </c>
      <c r="BL33" s="212">
        <v>-22</v>
      </c>
      <c r="BM33" s="52">
        <f>+BN33-BL33</f>
        <v>3</v>
      </c>
      <c r="BN33" s="237">
        <f>-5-3-11</f>
        <v>-19</v>
      </c>
      <c r="BP33" s="213">
        <f>-1-7-6</f>
        <v>-14</v>
      </c>
      <c r="BQ33" s="52">
        <f t="shared" si="23"/>
        <v>14</v>
      </c>
      <c r="BR33" s="170"/>
      <c r="BS33" s="52">
        <f>+BT33-BR33</f>
        <v>0</v>
      </c>
      <c r="BT33" s="212"/>
      <c r="BU33" s="52">
        <f>+BV33-BT33</f>
        <v>0</v>
      </c>
      <c r="BV33" s="237"/>
    </row>
    <row r="34" spans="2:74" s="58" customFormat="1" ht="12.75">
      <c r="B34" s="136" t="s">
        <v>121</v>
      </c>
      <c r="D34" s="213">
        <v>2</v>
      </c>
      <c r="E34" s="52">
        <f>+F34-D34</f>
        <v>-1</v>
      </c>
      <c r="F34" s="170">
        <v>1</v>
      </c>
      <c r="G34" s="52">
        <f>+H34-F34</f>
        <v>4</v>
      </c>
      <c r="H34" s="212">
        <v>5</v>
      </c>
      <c r="I34" s="52">
        <f>+J34-H34</f>
        <v>3</v>
      </c>
      <c r="J34" s="237">
        <v>8</v>
      </c>
      <c r="L34" s="213">
        <v>4</v>
      </c>
      <c r="M34" s="52">
        <f>+N34-L34</f>
        <v>3</v>
      </c>
      <c r="N34" s="170">
        <v>7</v>
      </c>
      <c r="O34" s="52">
        <f>+P34-N34</f>
        <v>4</v>
      </c>
      <c r="P34" s="212">
        <v>11</v>
      </c>
      <c r="Q34" s="52">
        <f>+R34-P34</f>
        <v>2</v>
      </c>
      <c r="R34" s="237">
        <v>13</v>
      </c>
      <c r="T34" s="213">
        <v>4</v>
      </c>
      <c r="U34" s="52">
        <f>+V34-T34</f>
        <v>3</v>
      </c>
      <c r="V34" s="170">
        <v>7</v>
      </c>
      <c r="W34" s="52">
        <f>+X34-V34</f>
        <v>4</v>
      </c>
      <c r="X34" s="212">
        <v>11</v>
      </c>
      <c r="Y34" s="52">
        <f>+Z34-X34</f>
        <v>2</v>
      </c>
      <c r="Z34" s="237">
        <v>13</v>
      </c>
      <c r="AB34" s="213">
        <v>-2</v>
      </c>
      <c r="AC34" s="52">
        <f>+AD34-AB34</f>
        <v>-1</v>
      </c>
      <c r="AD34" s="170">
        <v>-3</v>
      </c>
      <c r="AE34" s="52">
        <f>+AF34-AD34</f>
        <v>2</v>
      </c>
      <c r="AF34" s="212">
        <v>-1</v>
      </c>
      <c r="AG34" s="52">
        <f>+AH34-AF34</f>
        <v>-37</v>
      </c>
      <c r="AH34" s="237">
        <v>-38</v>
      </c>
      <c r="AJ34" s="213">
        <v>-3</v>
      </c>
      <c r="AK34" s="52">
        <f>+AL34-AJ34</f>
        <v>6</v>
      </c>
      <c r="AL34" s="170">
        <v>3</v>
      </c>
      <c r="AM34" s="52">
        <f>+AN34-AL34</f>
        <v>4</v>
      </c>
      <c r="AN34" s="212">
        <v>7</v>
      </c>
      <c r="AO34" s="52">
        <f t="shared" si="3"/>
        <v>0</v>
      </c>
      <c r="AP34" s="237">
        <v>7</v>
      </c>
      <c r="AR34" s="213">
        <v>9</v>
      </c>
      <c r="AS34" s="52">
        <f>+AT34-AR34</f>
        <v>-52</v>
      </c>
      <c r="AT34" s="170">
        <v>-43</v>
      </c>
      <c r="AU34" s="52">
        <f>+AV34-AT34</f>
        <v>-1</v>
      </c>
      <c r="AV34" s="212">
        <v>-44</v>
      </c>
      <c r="AW34" s="52">
        <f t="shared" si="24"/>
        <v>13</v>
      </c>
      <c r="AX34" s="237">
        <v>-31</v>
      </c>
      <c r="AZ34" s="213">
        <v>9</v>
      </c>
      <c r="BA34" s="52">
        <f>+BB34-AZ34</f>
        <v>-52</v>
      </c>
      <c r="BB34" s="170">
        <v>-43</v>
      </c>
      <c r="BC34" s="52">
        <f t="shared" si="25"/>
        <v>-1</v>
      </c>
      <c r="BD34" s="212">
        <v>-44</v>
      </c>
      <c r="BE34" s="52">
        <f t="shared" si="25"/>
        <v>13</v>
      </c>
      <c r="BF34" s="237">
        <v>-31</v>
      </c>
      <c r="BH34" s="213">
        <v>1</v>
      </c>
      <c r="BI34" s="52">
        <f t="shared" si="22"/>
        <v>3</v>
      </c>
      <c r="BJ34" s="170">
        <v>4</v>
      </c>
      <c r="BK34" s="52">
        <f>+BL34-BJ34</f>
        <v>1</v>
      </c>
      <c r="BL34" s="212">
        <v>5</v>
      </c>
      <c r="BM34" s="52">
        <f>+BN34-BL34</f>
        <v>-1</v>
      </c>
      <c r="BN34" s="237">
        <v>4</v>
      </c>
      <c r="BP34" s="213">
        <v>1</v>
      </c>
      <c r="BQ34" s="52">
        <f t="shared" si="23"/>
        <v>-1</v>
      </c>
      <c r="BR34" s="170"/>
      <c r="BS34" s="52">
        <f>+BT34-BR34</f>
        <v>0</v>
      </c>
      <c r="BT34" s="212"/>
      <c r="BU34" s="52">
        <f>+BV34-BT34</f>
        <v>0</v>
      </c>
      <c r="BV34" s="237"/>
    </row>
    <row r="35" spans="2:74" s="58" customFormat="1" ht="12.75">
      <c r="B35" s="136" t="s">
        <v>122</v>
      </c>
      <c r="D35" s="213">
        <v>0</v>
      </c>
      <c r="E35" s="52">
        <f>+F35-D35</f>
        <v>-27</v>
      </c>
      <c r="F35" s="170">
        <v>-27</v>
      </c>
      <c r="G35" s="52">
        <f>+H35-F35</f>
        <v>0</v>
      </c>
      <c r="H35" s="212">
        <v>-27</v>
      </c>
      <c r="I35" s="52">
        <f>+J35-H35</f>
        <v>27</v>
      </c>
      <c r="J35" s="237"/>
      <c r="L35" s="213">
        <v>-2</v>
      </c>
      <c r="M35" s="52">
        <f>+N35-L35</f>
        <v>-7</v>
      </c>
      <c r="N35" s="170">
        <v>-9</v>
      </c>
      <c r="O35" s="52">
        <f>+P35-N35</f>
        <v>-6</v>
      </c>
      <c r="P35" s="212">
        <v>-15</v>
      </c>
      <c r="Q35" s="52">
        <f>+R35-P35</f>
        <v>15</v>
      </c>
      <c r="R35" s="237"/>
      <c r="T35" s="213"/>
      <c r="U35" s="52">
        <f>+V35-T35</f>
        <v>0</v>
      </c>
      <c r="V35" s="170"/>
      <c r="W35" s="52">
        <f>+X35-V35</f>
        <v>0</v>
      </c>
      <c r="X35" s="212"/>
      <c r="Y35" s="52">
        <f>+Z35-X35</f>
        <v>0</v>
      </c>
      <c r="Z35" s="237"/>
      <c r="AB35" s="213"/>
      <c r="AC35" s="52">
        <f>+AD35-AB35</f>
        <v>0</v>
      </c>
      <c r="AD35" s="170"/>
      <c r="AE35" s="52">
        <f>+AF35-AD35</f>
        <v>0</v>
      </c>
      <c r="AF35" s="212"/>
      <c r="AG35" s="52">
        <f>+AH35-AF35</f>
        <v>0</v>
      </c>
      <c r="AH35" s="237"/>
      <c r="AJ35" s="213">
        <v>0</v>
      </c>
      <c r="AK35" s="52">
        <f>+AL35-AJ35</f>
        <v>0</v>
      </c>
      <c r="AL35" s="170">
        <v>0</v>
      </c>
      <c r="AM35" s="52">
        <f>+AN35-AL35</f>
        <v>0</v>
      </c>
      <c r="AN35" s="212">
        <v>0</v>
      </c>
      <c r="AO35" s="52">
        <f t="shared" si="3"/>
        <v>0</v>
      </c>
      <c r="AP35" s="237">
        <v>0</v>
      </c>
      <c r="AR35" s="213">
        <v>0</v>
      </c>
      <c r="AS35" s="52">
        <f>+AT35-AR35</f>
        <v>0</v>
      </c>
      <c r="AT35" s="170">
        <v>0</v>
      </c>
      <c r="AU35" s="52">
        <f>+AV35-AT35</f>
        <v>0</v>
      </c>
      <c r="AV35" s="212">
        <v>0</v>
      </c>
      <c r="AW35" s="52">
        <f t="shared" si="24"/>
        <v>0</v>
      </c>
      <c r="AX35" s="237">
        <v>0</v>
      </c>
      <c r="AZ35" s="213"/>
      <c r="BA35" s="52">
        <f>+BB35-AZ35</f>
        <v>0</v>
      </c>
      <c r="BB35" s="170"/>
      <c r="BC35" s="52"/>
      <c r="BD35" s="212"/>
      <c r="BE35" s="52"/>
      <c r="BF35" s="237">
        <v>0</v>
      </c>
      <c r="BH35" s="213">
        <v>0</v>
      </c>
      <c r="BI35" s="52">
        <f t="shared" si="22"/>
        <v>0</v>
      </c>
      <c r="BJ35" s="170">
        <v>0</v>
      </c>
      <c r="BK35" s="52">
        <f>+BL35-BJ35</f>
        <v>0</v>
      </c>
      <c r="BL35" s="212">
        <v>0</v>
      </c>
      <c r="BM35" s="52">
        <f>+BN35-BL35</f>
        <v>0</v>
      </c>
      <c r="BN35" s="237">
        <v>0</v>
      </c>
      <c r="BP35" s="213">
        <v>0</v>
      </c>
      <c r="BQ35" s="52">
        <f t="shared" si="23"/>
        <v>0</v>
      </c>
      <c r="BR35" s="170"/>
      <c r="BS35" s="52">
        <f>+BT35-BR35</f>
        <v>0</v>
      </c>
      <c r="BT35" s="212"/>
      <c r="BU35" s="52">
        <f>+BV35-BT35</f>
        <v>0</v>
      </c>
      <c r="BV35" s="237"/>
    </row>
    <row r="36" spans="2:74" s="61" customFormat="1" ht="13.5" customHeight="1">
      <c r="B36" s="135" t="s">
        <v>123</v>
      </c>
      <c r="D36" s="144">
        <f aca="true" t="shared" si="26" ref="D36:J36">+D31+D33+D34+D35</f>
        <v>-146</v>
      </c>
      <c r="E36" s="59">
        <f t="shared" si="26"/>
        <v>432</v>
      </c>
      <c r="F36" s="59">
        <f t="shared" si="26"/>
        <v>286</v>
      </c>
      <c r="G36" s="59">
        <f t="shared" si="26"/>
        <v>20</v>
      </c>
      <c r="H36" s="59">
        <f t="shared" si="26"/>
        <v>306</v>
      </c>
      <c r="I36" s="23">
        <f t="shared" si="26"/>
        <v>-89</v>
      </c>
      <c r="J36" s="126">
        <f t="shared" si="26"/>
        <v>217</v>
      </c>
      <c r="L36" s="144">
        <f aca="true" t="shared" si="27" ref="L36:R36">+L31+L33+L34+L35</f>
        <v>190</v>
      </c>
      <c r="M36" s="59">
        <f t="shared" si="27"/>
        <v>59</v>
      </c>
      <c r="N36" s="59">
        <f t="shared" si="27"/>
        <v>249</v>
      </c>
      <c r="O36" s="59">
        <f t="shared" si="27"/>
        <v>50</v>
      </c>
      <c r="P36" s="59">
        <f t="shared" si="27"/>
        <v>299</v>
      </c>
      <c r="Q36" s="23">
        <f t="shared" si="27"/>
        <v>-85</v>
      </c>
      <c r="R36" s="126">
        <f t="shared" si="27"/>
        <v>214</v>
      </c>
      <c r="T36" s="144">
        <f aca="true" t="shared" si="28" ref="T36:Z36">+T31+T33+T34+T35</f>
        <v>190</v>
      </c>
      <c r="U36" s="59">
        <f t="shared" si="28"/>
        <v>59</v>
      </c>
      <c r="V36" s="59">
        <f t="shared" si="28"/>
        <v>249</v>
      </c>
      <c r="W36" s="59">
        <f t="shared" si="28"/>
        <v>50</v>
      </c>
      <c r="X36" s="59">
        <f t="shared" si="28"/>
        <v>299</v>
      </c>
      <c r="Y36" s="23">
        <f t="shared" si="28"/>
        <v>-85</v>
      </c>
      <c r="Z36" s="126">
        <f t="shared" si="28"/>
        <v>214</v>
      </c>
      <c r="AB36" s="144">
        <f aca="true" t="shared" si="29" ref="AB36:AH36">+AB31+AB33+AB34+AB35</f>
        <v>-90</v>
      </c>
      <c r="AC36" s="59">
        <f t="shared" si="29"/>
        <v>-62</v>
      </c>
      <c r="AD36" s="59">
        <f t="shared" si="29"/>
        <v>-152</v>
      </c>
      <c r="AE36" s="59">
        <f t="shared" si="29"/>
        <v>-28</v>
      </c>
      <c r="AF36" s="59">
        <f t="shared" si="29"/>
        <v>-180</v>
      </c>
      <c r="AG36" s="23">
        <f t="shared" si="29"/>
        <v>-682</v>
      </c>
      <c r="AH36" s="126">
        <f t="shared" si="29"/>
        <v>-862</v>
      </c>
      <c r="AJ36" s="144">
        <f>+AJ31+AJ33+AJ34+AJ35</f>
        <v>-67</v>
      </c>
      <c r="AK36" s="59">
        <f>+AK31+AK33+AK34+AK35</f>
        <v>31</v>
      </c>
      <c r="AL36" s="59">
        <f>+AL31+AL33+AL34+AL35</f>
        <v>-36</v>
      </c>
      <c r="AM36" s="59">
        <f>+AM31+AM33+AM34+AM35</f>
        <v>-36</v>
      </c>
      <c r="AN36" s="59">
        <f>SUM(AN31:AN35)</f>
        <v>-72</v>
      </c>
      <c r="AO36" s="23">
        <f t="shared" si="3"/>
        <v>-275</v>
      </c>
      <c r="AP36" s="126">
        <f>+AP31+AP33+AP34+AP35</f>
        <v>-347</v>
      </c>
      <c r="AR36" s="144">
        <f>+AR31+AR33+AR34+AR35</f>
        <v>4</v>
      </c>
      <c r="AS36" s="59">
        <f>+AS31+AS33+AS34+AS35</f>
        <v>-61</v>
      </c>
      <c r="AT36" s="59">
        <f>+AT31+AT33+AT34+AT35</f>
        <v>-57</v>
      </c>
      <c r="AU36" s="59">
        <f>+AU31+AU33+AU34+AU35</f>
        <v>51</v>
      </c>
      <c r="AV36" s="263">
        <f>SUM(AV31:AV35)</f>
        <v>-6</v>
      </c>
      <c r="AW36" s="23">
        <f t="shared" si="24"/>
        <v>-35</v>
      </c>
      <c r="AX36" s="126">
        <f>+AX31+AX33+AX34+AX35</f>
        <v>-41</v>
      </c>
      <c r="AZ36" s="144">
        <f>+AZ31+AZ33+AZ34+AZ35</f>
        <v>4</v>
      </c>
      <c r="BA36" s="59">
        <f>+BA31+BA33+BA34+BA35</f>
        <v>-61</v>
      </c>
      <c r="BB36" s="59">
        <f>+BB31+BB33+BB34+BB35</f>
        <v>-57</v>
      </c>
      <c r="BC36" s="59">
        <f>+BC31+BC33+BC34+BC35</f>
        <v>51</v>
      </c>
      <c r="BD36" s="263">
        <f>SUM(BD31:BD35)</f>
        <v>-6</v>
      </c>
      <c r="BE36" s="23">
        <v>0</v>
      </c>
      <c r="BF36" s="449">
        <f>+SUM(BF31:BF35)</f>
        <v>-41</v>
      </c>
      <c r="BH36" s="144">
        <f>BH31+BH33+BH34+BH35</f>
        <v>80</v>
      </c>
      <c r="BI36" s="23">
        <f t="shared" si="22"/>
        <v>69</v>
      </c>
      <c r="BJ36" s="59">
        <f>+BJ31+BJ33+BJ34+BJ35</f>
        <v>149</v>
      </c>
      <c r="BK36" s="59">
        <f>+BK31+BK33+BK34+BK35</f>
        <v>69</v>
      </c>
      <c r="BL36" s="59">
        <f>+BL31+BL33+BL34+BL35</f>
        <v>218</v>
      </c>
      <c r="BM36" s="59">
        <f>+BM31+BM33+BM34+BM35</f>
        <v>-34</v>
      </c>
      <c r="BN36" s="258">
        <f>+BN31+BN33+BN34+BN35</f>
        <v>184</v>
      </c>
      <c r="BP36" s="144">
        <f>BP31+BP33+BP34+BP35</f>
        <v>137</v>
      </c>
      <c r="BQ36" s="23">
        <f t="shared" si="23"/>
        <v>-137</v>
      </c>
      <c r="BR36" s="59">
        <f>+BR31+BR33+BR34+BR35</f>
        <v>0</v>
      </c>
      <c r="BS36" s="59">
        <f>+BS31+BS33+BS34+BS35</f>
        <v>0</v>
      </c>
      <c r="BT36" s="59">
        <f>+BT31+BT33+BT34+BT35</f>
        <v>0</v>
      </c>
      <c r="BU36" s="59">
        <f>+BU31+BU33+BU34+BU35</f>
        <v>0</v>
      </c>
      <c r="BV36" s="258">
        <f>+BV31+BV33+BV34+BV35</f>
        <v>0</v>
      </c>
    </row>
    <row r="37" spans="1:74" s="66" customFormat="1" ht="16.5" customHeight="1">
      <c r="A37" s="64"/>
      <c r="B37" s="137" t="s">
        <v>124</v>
      </c>
      <c r="D37" s="216">
        <v>3</v>
      </c>
      <c r="E37" s="52">
        <f>+F37-D37</f>
        <v>-144</v>
      </c>
      <c r="F37" s="221">
        <v>-141</v>
      </c>
      <c r="G37" s="52">
        <f>+H37-F37</f>
        <v>9</v>
      </c>
      <c r="H37" s="212">
        <v>-132</v>
      </c>
      <c r="I37" s="52">
        <f>+J37-H37</f>
        <v>13</v>
      </c>
      <c r="J37" s="237">
        <v>-119</v>
      </c>
      <c r="L37" s="216">
        <v>-88</v>
      </c>
      <c r="M37" s="52">
        <f>+N37-L37</f>
        <v>-37</v>
      </c>
      <c r="N37" s="221">
        <v>-125</v>
      </c>
      <c r="O37" s="52">
        <f>+P37-N37</f>
        <v>19</v>
      </c>
      <c r="P37" s="212">
        <v>-106</v>
      </c>
      <c r="Q37" s="52">
        <f>+R37-P37</f>
        <v>-53</v>
      </c>
      <c r="R37" s="237">
        <v>-159</v>
      </c>
      <c r="T37" s="216">
        <v>-88</v>
      </c>
      <c r="U37" s="52">
        <f>+V37-T37</f>
        <v>-37</v>
      </c>
      <c r="V37" s="221">
        <v>-125</v>
      </c>
      <c r="W37" s="52">
        <f>+X37-V37</f>
        <v>19</v>
      </c>
      <c r="X37" s="212">
        <v>-106</v>
      </c>
      <c r="Y37" s="52">
        <f>+Z37-X37</f>
        <v>-53</v>
      </c>
      <c r="Z37" s="237">
        <v>-159</v>
      </c>
      <c r="AB37" s="216">
        <v>-52</v>
      </c>
      <c r="AC37" s="52">
        <f>+AD37-AB37</f>
        <v>12</v>
      </c>
      <c r="AD37" s="221">
        <v>-40</v>
      </c>
      <c r="AE37" s="52">
        <f>+AF37-AD37</f>
        <v>12</v>
      </c>
      <c r="AF37" s="212">
        <v>-28</v>
      </c>
      <c r="AG37" s="52">
        <f>+AH37-AF37</f>
        <v>-69</v>
      </c>
      <c r="AH37" s="237">
        <v>-97</v>
      </c>
      <c r="AJ37" s="216">
        <v>-4</v>
      </c>
      <c r="AK37" s="52">
        <f>+AL37-AJ37</f>
        <v>-16</v>
      </c>
      <c r="AL37" s="221">
        <v>-20</v>
      </c>
      <c r="AM37" s="52">
        <f>+AN37-AL37</f>
        <v>-1</v>
      </c>
      <c r="AN37" s="212">
        <v>-21</v>
      </c>
      <c r="AO37" s="52">
        <f t="shared" si="3"/>
        <v>-4</v>
      </c>
      <c r="AP37" s="237">
        <v>-25</v>
      </c>
      <c r="AR37" s="216">
        <v>-18</v>
      </c>
      <c r="AS37" s="52">
        <f>+AT37-AR37</f>
        <v>-59</v>
      </c>
      <c r="AT37" s="221">
        <v>-77</v>
      </c>
      <c r="AU37" s="52">
        <f>+AV37-AT37</f>
        <v>-17</v>
      </c>
      <c r="AV37" s="212">
        <v>-94</v>
      </c>
      <c r="AW37" s="52">
        <f t="shared" si="24"/>
        <v>-28</v>
      </c>
      <c r="AX37" s="237">
        <v>-122</v>
      </c>
      <c r="AZ37" s="216">
        <v>-18</v>
      </c>
      <c r="BA37" s="52">
        <f>+BB37-AZ37</f>
        <v>-59</v>
      </c>
      <c r="BB37" s="221">
        <v>-77</v>
      </c>
      <c r="BC37" s="52">
        <f>+BD37-BB37</f>
        <v>-17</v>
      </c>
      <c r="BD37" s="212">
        <v>-94</v>
      </c>
      <c r="BE37" s="52">
        <f>+BF37-BD37</f>
        <v>-28</v>
      </c>
      <c r="BF37" s="237">
        <f>+AX37</f>
        <v>-122</v>
      </c>
      <c r="BH37" s="216">
        <v>-34</v>
      </c>
      <c r="BI37" s="52">
        <f t="shared" si="22"/>
        <v>-48</v>
      </c>
      <c r="BJ37" s="221">
        <v>-82</v>
      </c>
      <c r="BK37" s="52">
        <f>+BL37-BJ37</f>
        <v>-38</v>
      </c>
      <c r="BL37" s="212">
        <v>-120</v>
      </c>
      <c r="BM37" s="52">
        <f>+BN37-BL37</f>
        <v>3</v>
      </c>
      <c r="BN37" s="237">
        <v>-117</v>
      </c>
      <c r="BP37" s="216">
        <v>-49</v>
      </c>
      <c r="BQ37" s="52">
        <f t="shared" si="23"/>
        <v>49</v>
      </c>
      <c r="BR37" s="221"/>
      <c r="BS37" s="52">
        <f>+BT37-BR37</f>
        <v>0</v>
      </c>
      <c r="BT37" s="212"/>
      <c r="BU37" s="52">
        <f>+BV37-BT37</f>
        <v>0</v>
      </c>
      <c r="BV37" s="237"/>
    </row>
    <row r="38" spans="1:74" s="64" customFormat="1" ht="16.5" customHeight="1">
      <c r="A38" s="66"/>
      <c r="B38" s="138" t="s">
        <v>152</v>
      </c>
      <c r="D38" s="145">
        <f aca="true" t="shared" si="30" ref="D38:J38">+D36+D37</f>
        <v>-143</v>
      </c>
      <c r="E38" s="63">
        <f t="shared" si="30"/>
        <v>288</v>
      </c>
      <c r="F38" s="63">
        <f t="shared" si="30"/>
        <v>145</v>
      </c>
      <c r="G38" s="63">
        <f t="shared" si="30"/>
        <v>29</v>
      </c>
      <c r="H38" s="63">
        <f t="shared" si="30"/>
        <v>174</v>
      </c>
      <c r="I38" s="23">
        <f t="shared" si="30"/>
        <v>-76</v>
      </c>
      <c r="J38" s="127">
        <f t="shared" si="30"/>
        <v>98</v>
      </c>
      <c r="L38" s="145">
        <f aca="true" t="shared" si="31" ref="L38:R38">+L36+L37</f>
        <v>102</v>
      </c>
      <c r="M38" s="63">
        <f t="shared" si="31"/>
        <v>22</v>
      </c>
      <c r="N38" s="63">
        <f t="shared" si="31"/>
        <v>124</v>
      </c>
      <c r="O38" s="63">
        <f t="shared" si="31"/>
        <v>69</v>
      </c>
      <c r="P38" s="63">
        <f t="shared" si="31"/>
        <v>193</v>
      </c>
      <c r="Q38" s="23">
        <f t="shared" si="31"/>
        <v>-138</v>
      </c>
      <c r="R38" s="127">
        <f t="shared" si="31"/>
        <v>55</v>
      </c>
      <c r="T38" s="145">
        <f aca="true" t="shared" si="32" ref="T38:Z38">+T36+T37</f>
        <v>102</v>
      </c>
      <c r="U38" s="63">
        <f t="shared" si="32"/>
        <v>22</v>
      </c>
      <c r="V38" s="63">
        <f t="shared" si="32"/>
        <v>124</v>
      </c>
      <c r="W38" s="63">
        <f t="shared" si="32"/>
        <v>69</v>
      </c>
      <c r="X38" s="63">
        <f t="shared" si="32"/>
        <v>193</v>
      </c>
      <c r="Y38" s="23">
        <f t="shared" si="32"/>
        <v>-138</v>
      </c>
      <c r="Z38" s="127">
        <f t="shared" si="32"/>
        <v>55</v>
      </c>
      <c r="AB38" s="145">
        <f aca="true" t="shared" si="33" ref="AB38:AH38">+AB36+AB37</f>
        <v>-142</v>
      </c>
      <c r="AC38" s="63">
        <f t="shared" si="33"/>
        <v>-50</v>
      </c>
      <c r="AD38" s="63">
        <f t="shared" si="33"/>
        <v>-192</v>
      </c>
      <c r="AE38" s="63">
        <f t="shared" si="33"/>
        <v>-16</v>
      </c>
      <c r="AF38" s="63">
        <f t="shared" si="33"/>
        <v>-208</v>
      </c>
      <c r="AG38" s="23">
        <f t="shared" si="33"/>
        <v>-751</v>
      </c>
      <c r="AH38" s="127">
        <f t="shared" si="33"/>
        <v>-959</v>
      </c>
      <c r="AJ38" s="145">
        <f>+AJ36+AJ37</f>
        <v>-71</v>
      </c>
      <c r="AK38" s="63">
        <f>+AK36+AK37</f>
        <v>15</v>
      </c>
      <c r="AL38" s="63">
        <f>+AL36+AL37</f>
        <v>-56</v>
      </c>
      <c r="AM38" s="63">
        <f>+AM36+AM37</f>
        <v>-37</v>
      </c>
      <c r="AN38" s="63">
        <f>SUM(AN36:AN37)</f>
        <v>-93</v>
      </c>
      <c r="AO38" s="23">
        <f t="shared" si="3"/>
        <v>-279</v>
      </c>
      <c r="AP38" s="127">
        <f>+AP36+AP37</f>
        <v>-372</v>
      </c>
      <c r="AR38" s="145">
        <f>+AR36+AR37</f>
        <v>-14</v>
      </c>
      <c r="AS38" s="63">
        <f>+AS36+AS37</f>
        <v>-120</v>
      </c>
      <c r="AT38" s="63">
        <f>+AT36+AT37</f>
        <v>-134</v>
      </c>
      <c r="AU38" s="63">
        <f>+AU36+AU37</f>
        <v>34</v>
      </c>
      <c r="AV38" s="289">
        <f>SUM(AV36:AV37)</f>
        <v>-100</v>
      </c>
      <c r="AW38" s="23">
        <f t="shared" si="24"/>
        <v>-63</v>
      </c>
      <c r="AX38" s="127">
        <f>+AX36+AX37</f>
        <v>-163</v>
      </c>
      <c r="AZ38" s="145">
        <f>+AZ36+AZ37</f>
        <v>-14</v>
      </c>
      <c r="BA38" s="63">
        <f>+BA36+BA37</f>
        <v>-120</v>
      </c>
      <c r="BB38" s="63">
        <f>+BB36+BB37</f>
        <v>-134</v>
      </c>
      <c r="BC38" s="63">
        <f>+BC36+BC37</f>
        <v>34</v>
      </c>
      <c r="BD38" s="289">
        <f>SUM(BD36:BD37)</f>
        <v>-100</v>
      </c>
      <c r="BE38" s="23">
        <v>0</v>
      </c>
      <c r="BF38" s="449">
        <f>+BF36+BF37</f>
        <v>-163</v>
      </c>
      <c r="BH38" s="145">
        <f>+BH36+BH37</f>
        <v>46</v>
      </c>
      <c r="BI38" s="23">
        <f t="shared" si="22"/>
        <v>21</v>
      </c>
      <c r="BJ38" s="63">
        <f>+BJ36+BJ37</f>
        <v>67</v>
      </c>
      <c r="BK38" s="63">
        <f>+BK36+BK37</f>
        <v>31</v>
      </c>
      <c r="BL38" s="63">
        <f>+BL36+BL37</f>
        <v>98</v>
      </c>
      <c r="BM38" s="63">
        <f>+BM36+BM37</f>
        <v>-31</v>
      </c>
      <c r="BN38" s="498">
        <f>+BN36+BN37</f>
        <v>67</v>
      </c>
      <c r="BP38" s="145">
        <f>+BP36+BP37</f>
        <v>88</v>
      </c>
      <c r="BQ38" s="23">
        <f t="shared" si="23"/>
        <v>-88</v>
      </c>
      <c r="BR38" s="63">
        <f>+BR36+BR37</f>
        <v>0</v>
      </c>
      <c r="BS38" s="63">
        <f>+BS36+BS37</f>
        <v>0</v>
      </c>
      <c r="BT38" s="63">
        <f>+BT36+BT37</f>
        <v>0</v>
      </c>
      <c r="BU38" s="63">
        <f>+BU36+BU37</f>
        <v>0</v>
      </c>
      <c r="BV38" s="498">
        <f>+BV36+BV37</f>
        <v>0</v>
      </c>
    </row>
    <row r="39" spans="1:74" s="66" customFormat="1" ht="16.5" customHeight="1">
      <c r="A39" s="64"/>
      <c r="B39" s="137" t="s">
        <v>140</v>
      </c>
      <c r="D39" s="217">
        <v>0</v>
      </c>
      <c r="E39" s="52">
        <f>+F39-D39</f>
        <v>0</v>
      </c>
      <c r="F39" s="172">
        <v>0</v>
      </c>
      <c r="G39" s="52">
        <f>+H39-F39</f>
        <v>0</v>
      </c>
      <c r="H39" s="172">
        <v>0</v>
      </c>
      <c r="I39" s="52">
        <f>+J39-H39</f>
        <v>0</v>
      </c>
      <c r="J39" s="237">
        <v>0</v>
      </c>
      <c r="L39" s="217">
        <v>0</v>
      </c>
      <c r="M39" s="52">
        <f>+N39-L39</f>
        <v>0</v>
      </c>
      <c r="N39" s="172">
        <v>0</v>
      </c>
      <c r="O39" s="52">
        <f>+P39-N39</f>
        <v>0</v>
      </c>
      <c r="P39" s="172">
        <v>0</v>
      </c>
      <c r="Q39" s="52">
        <f>+R39-P39</f>
        <v>0</v>
      </c>
      <c r="R39" s="237">
        <v>0</v>
      </c>
      <c r="T39" s="217">
        <v>0</v>
      </c>
      <c r="U39" s="52">
        <f>+V39-T39</f>
        <v>0</v>
      </c>
      <c r="V39" s="172">
        <v>0</v>
      </c>
      <c r="W39" s="52">
        <f>+X39-V39</f>
        <v>0</v>
      </c>
      <c r="X39" s="172">
        <v>0</v>
      </c>
      <c r="Y39" s="52">
        <f>+Z39-X39</f>
        <v>0</v>
      </c>
      <c r="Z39" s="237">
        <v>0</v>
      </c>
      <c r="AB39" s="217">
        <v>0</v>
      </c>
      <c r="AC39" s="52">
        <f>+AD39-AB39</f>
        <v>0</v>
      </c>
      <c r="AD39" s="172">
        <v>0</v>
      </c>
      <c r="AE39" s="52">
        <f>+AF39-AD39</f>
        <v>0</v>
      </c>
      <c r="AF39" s="172">
        <v>0</v>
      </c>
      <c r="AG39" s="52">
        <f>+AH39-AF39</f>
        <v>0</v>
      </c>
      <c r="AH39" s="237">
        <v>0</v>
      </c>
      <c r="AJ39" s="217">
        <v>0</v>
      </c>
      <c r="AK39" s="52">
        <f>+AL39-AJ39</f>
        <v>0</v>
      </c>
      <c r="AL39" s="172">
        <v>0</v>
      </c>
      <c r="AM39" s="52">
        <f>+AN39-AL39</f>
        <v>0</v>
      </c>
      <c r="AN39" s="172">
        <v>0</v>
      </c>
      <c r="AO39" s="52">
        <f t="shared" si="3"/>
        <v>0</v>
      </c>
      <c r="AP39" s="237">
        <v>0</v>
      </c>
      <c r="AR39" s="217">
        <v>0</v>
      </c>
      <c r="AS39" s="52">
        <f>+AT39-AR39</f>
        <v>0</v>
      </c>
      <c r="AT39" s="172">
        <v>0</v>
      </c>
      <c r="AU39" s="52">
        <f>+AV39-AT39</f>
        <v>0</v>
      </c>
      <c r="AV39" s="172">
        <v>0</v>
      </c>
      <c r="AW39" s="52">
        <f t="shared" si="24"/>
        <v>0</v>
      </c>
      <c r="AX39" s="237">
        <v>0</v>
      </c>
      <c r="AZ39" s="217">
        <v>0</v>
      </c>
      <c r="BA39" s="52">
        <f>+BB39-AZ39</f>
        <v>0</v>
      </c>
      <c r="BB39" s="172">
        <v>0</v>
      </c>
      <c r="BC39" s="52">
        <f>+BD39-BB39</f>
        <v>0</v>
      </c>
      <c r="BD39" s="172">
        <v>0</v>
      </c>
      <c r="BE39" s="52">
        <f>+BF39-BD39</f>
        <v>0</v>
      </c>
      <c r="BF39" s="237">
        <v>0</v>
      </c>
      <c r="BH39" s="217">
        <v>0</v>
      </c>
      <c r="BI39" s="52">
        <f t="shared" si="22"/>
        <v>0</v>
      </c>
      <c r="BJ39" s="172">
        <v>0</v>
      </c>
      <c r="BK39" s="52">
        <f>+BL39-BJ39</f>
        <v>0</v>
      </c>
      <c r="BL39" s="172">
        <v>0</v>
      </c>
      <c r="BM39" s="52">
        <f>+BN39-BL39</f>
        <v>0</v>
      </c>
      <c r="BN39" s="237">
        <v>0</v>
      </c>
      <c r="BP39" s="217">
        <v>0</v>
      </c>
      <c r="BQ39" s="52">
        <f t="shared" si="23"/>
        <v>0</v>
      </c>
      <c r="BR39" s="172"/>
      <c r="BS39" s="52">
        <f>+BT39-BR39</f>
        <v>0</v>
      </c>
      <c r="BT39" s="172"/>
      <c r="BU39" s="52">
        <f>+BV39-BT39</f>
        <v>0</v>
      </c>
      <c r="BV39" s="237"/>
    </row>
    <row r="40" spans="1:74" s="64" customFormat="1" ht="16.5" customHeight="1">
      <c r="A40" s="66"/>
      <c r="B40" s="138" t="s">
        <v>151</v>
      </c>
      <c r="D40" s="145">
        <f aca="true" t="shared" si="34" ref="D40:J40">+D38+D39</f>
        <v>-143</v>
      </c>
      <c r="E40" s="63">
        <f t="shared" si="34"/>
        <v>288</v>
      </c>
      <c r="F40" s="63">
        <f t="shared" si="34"/>
        <v>145</v>
      </c>
      <c r="G40" s="63">
        <f t="shared" si="34"/>
        <v>29</v>
      </c>
      <c r="H40" s="63">
        <f t="shared" si="34"/>
        <v>174</v>
      </c>
      <c r="I40" s="23">
        <f t="shared" si="34"/>
        <v>-76</v>
      </c>
      <c r="J40" s="127">
        <f t="shared" si="34"/>
        <v>98</v>
      </c>
      <c r="L40" s="145">
        <f aca="true" t="shared" si="35" ref="L40:R40">+L38+L39</f>
        <v>102</v>
      </c>
      <c r="M40" s="63">
        <f t="shared" si="35"/>
        <v>22</v>
      </c>
      <c r="N40" s="63">
        <f t="shared" si="35"/>
        <v>124</v>
      </c>
      <c r="O40" s="63">
        <f t="shared" si="35"/>
        <v>69</v>
      </c>
      <c r="P40" s="63">
        <f t="shared" si="35"/>
        <v>193</v>
      </c>
      <c r="Q40" s="23">
        <f t="shared" si="35"/>
        <v>-138</v>
      </c>
      <c r="R40" s="127">
        <f t="shared" si="35"/>
        <v>55</v>
      </c>
      <c r="T40" s="145">
        <f aca="true" t="shared" si="36" ref="T40:Z40">+T38+T39</f>
        <v>102</v>
      </c>
      <c r="U40" s="63">
        <f t="shared" si="36"/>
        <v>22</v>
      </c>
      <c r="V40" s="63">
        <f t="shared" si="36"/>
        <v>124</v>
      </c>
      <c r="W40" s="63">
        <f t="shared" si="36"/>
        <v>69</v>
      </c>
      <c r="X40" s="63">
        <f t="shared" si="36"/>
        <v>193</v>
      </c>
      <c r="Y40" s="23">
        <f t="shared" si="36"/>
        <v>-138</v>
      </c>
      <c r="Z40" s="127">
        <f t="shared" si="36"/>
        <v>55</v>
      </c>
      <c r="AB40" s="145">
        <f aca="true" t="shared" si="37" ref="AB40:AH40">+AB38+AB39</f>
        <v>-142</v>
      </c>
      <c r="AC40" s="63">
        <f t="shared" si="37"/>
        <v>-50</v>
      </c>
      <c r="AD40" s="63">
        <f t="shared" si="37"/>
        <v>-192</v>
      </c>
      <c r="AE40" s="63">
        <f t="shared" si="37"/>
        <v>-16</v>
      </c>
      <c r="AF40" s="63">
        <f t="shared" si="37"/>
        <v>-208</v>
      </c>
      <c r="AG40" s="23">
        <f t="shared" si="37"/>
        <v>-751</v>
      </c>
      <c r="AH40" s="127">
        <f t="shared" si="37"/>
        <v>-959</v>
      </c>
      <c r="AJ40" s="145">
        <f>+AJ38+AJ39</f>
        <v>-71</v>
      </c>
      <c r="AK40" s="63">
        <f>+AK38+AK39</f>
        <v>15</v>
      </c>
      <c r="AL40" s="63">
        <f>+AL38+AL39</f>
        <v>-56</v>
      </c>
      <c r="AM40" s="63">
        <f>+AM38+AM39</f>
        <v>-37</v>
      </c>
      <c r="AN40" s="63">
        <f>SUM(AN38:AN39)</f>
        <v>-93</v>
      </c>
      <c r="AO40" s="23">
        <f t="shared" si="3"/>
        <v>-279</v>
      </c>
      <c r="AP40" s="127">
        <f>+AP38+AP39</f>
        <v>-372</v>
      </c>
      <c r="AR40" s="145">
        <f>+AR38+AR39</f>
        <v>-14</v>
      </c>
      <c r="AS40" s="63">
        <f>+AS38+AS39</f>
        <v>-120</v>
      </c>
      <c r="AT40" s="63">
        <f>+AT38+AT39</f>
        <v>-134</v>
      </c>
      <c r="AU40" s="63">
        <f>+AU38+AU39</f>
        <v>34</v>
      </c>
      <c r="AV40" s="289">
        <f>SUM(AV38:AV39)</f>
        <v>-100</v>
      </c>
      <c r="AW40" s="23">
        <f t="shared" si="24"/>
        <v>-63</v>
      </c>
      <c r="AX40" s="127">
        <f>+AX38+AX39</f>
        <v>-163</v>
      </c>
      <c r="AZ40" s="145">
        <f>+AZ38+AZ39</f>
        <v>-14</v>
      </c>
      <c r="BA40" s="63">
        <f>+BA38+BA39</f>
        <v>-120</v>
      </c>
      <c r="BB40" s="63">
        <f>+BB38+BB39</f>
        <v>-134</v>
      </c>
      <c r="BC40" s="63">
        <f>+BC38+BC39</f>
        <v>34</v>
      </c>
      <c r="BD40" s="289">
        <f>SUM(BD38:BD39)</f>
        <v>-100</v>
      </c>
      <c r="BE40" s="23">
        <v>0</v>
      </c>
      <c r="BF40" s="449">
        <f>+BF38+BF39</f>
        <v>-163</v>
      </c>
      <c r="BH40" s="145">
        <f>+BH38+BH39</f>
        <v>46</v>
      </c>
      <c r="BI40" s="23">
        <f t="shared" si="22"/>
        <v>21</v>
      </c>
      <c r="BJ40" s="63">
        <f>+BJ38+BJ39</f>
        <v>67</v>
      </c>
      <c r="BK40" s="63">
        <f>+BK38+BK39</f>
        <v>31</v>
      </c>
      <c r="BL40" s="63">
        <f>+BL38+BL39</f>
        <v>98</v>
      </c>
      <c r="BM40" s="63">
        <f>+BM38+BM39</f>
        <v>-31</v>
      </c>
      <c r="BN40" s="498">
        <f>+BN38+BN39</f>
        <v>67</v>
      </c>
      <c r="BP40" s="145">
        <f>+BP38+BP39</f>
        <v>88</v>
      </c>
      <c r="BQ40" s="23">
        <f t="shared" si="23"/>
        <v>-88</v>
      </c>
      <c r="BR40" s="63">
        <f>+BR38+BR39</f>
        <v>0</v>
      </c>
      <c r="BS40" s="63">
        <f>+BS38+BS39</f>
        <v>0</v>
      </c>
      <c r="BT40" s="63">
        <f>+BT38+BT39</f>
        <v>0</v>
      </c>
      <c r="BU40" s="63">
        <f>+BU38+BU39</f>
        <v>0</v>
      </c>
      <c r="BV40" s="498">
        <f>+BV38+BV39</f>
        <v>0</v>
      </c>
    </row>
    <row r="41" spans="1:74" s="58" customFormat="1" ht="12.75">
      <c r="A41" s="64"/>
      <c r="B41" s="133" t="s">
        <v>125</v>
      </c>
      <c r="D41" s="218">
        <v>1</v>
      </c>
      <c r="E41" s="52">
        <f>+F41-D41</f>
        <v>6</v>
      </c>
      <c r="F41" s="170">
        <v>7</v>
      </c>
      <c r="G41" s="52">
        <f>+H41-F41</f>
        <v>-7</v>
      </c>
      <c r="H41" s="170">
        <v>0</v>
      </c>
      <c r="I41" s="52">
        <f>+J41-H41</f>
        <v>-2</v>
      </c>
      <c r="J41" s="237">
        <v>-2</v>
      </c>
      <c r="L41" s="218">
        <v>-1</v>
      </c>
      <c r="M41" s="52">
        <f>+N41-L41</f>
        <v>-7</v>
      </c>
      <c r="N41" s="170">
        <v>-8</v>
      </c>
      <c r="O41" s="52">
        <f>+P41-N41</f>
        <v>-8</v>
      </c>
      <c r="P41" s="170">
        <v>-16</v>
      </c>
      <c r="Q41" s="52">
        <f>+R41-P41</f>
        <v>1</v>
      </c>
      <c r="R41" s="237">
        <v>-15</v>
      </c>
      <c r="T41" s="218">
        <v>-1</v>
      </c>
      <c r="U41" s="52">
        <f>+V41-T41</f>
        <v>-7</v>
      </c>
      <c r="V41" s="170">
        <v>-8</v>
      </c>
      <c r="W41" s="52">
        <f>+X41-V41</f>
        <v>-8</v>
      </c>
      <c r="X41" s="170">
        <v>-16</v>
      </c>
      <c r="Y41" s="52">
        <f>+Z41-X41</f>
        <v>1</v>
      </c>
      <c r="Z41" s="237">
        <v>-15</v>
      </c>
      <c r="AB41" s="218">
        <v>-11</v>
      </c>
      <c r="AC41" s="52">
        <f>+AD41-AB41</f>
        <v>-4</v>
      </c>
      <c r="AD41" s="170">
        <v>-15</v>
      </c>
      <c r="AE41" s="52">
        <f>+AF41-AD41</f>
        <v>-8</v>
      </c>
      <c r="AF41" s="170">
        <v>-23</v>
      </c>
      <c r="AG41" s="52">
        <f>+AH41-AF41</f>
        <v>2</v>
      </c>
      <c r="AH41" s="237">
        <v>-21</v>
      </c>
      <c r="AJ41" s="218">
        <v>-5</v>
      </c>
      <c r="AK41" s="52">
        <f>+AL41-AJ41</f>
        <v>-6</v>
      </c>
      <c r="AL41" s="170">
        <v>-11</v>
      </c>
      <c r="AM41" s="52">
        <f>+AN41-AL41</f>
        <v>-3</v>
      </c>
      <c r="AN41" s="170">
        <v>-14</v>
      </c>
      <c r="AO41" s="52">
        <f t="shared" si="3"/>
        <v>-3</v>
      </c>
      <c r="AP41" s="237">
        <v>-17</v>
      </c>
      <c r="AR41" s="218">
        <v>-5</v>
      </c>
      <c r="AS41" s="52">
        <f>+AT41-AR41</f>
        <v>-1</v>
      </c>
      <c r="AT41" s="170">
        <v>-6</v>
      </c>
      <c r="AU41" s="52">
        <f>+AV41-AT41</f>
        <v>-4</v>
      </c>
      <c r="AV41" s="170">
        <v>-10</v>
      </c>
      <c r="AW41" s="52">
        <f t="shared" si="24"/>
        <v>-3</v>
      </c>
      <c r="AX41" s="237">
        <v>-13</v>
      </c>
      <c r="AZ41" s="218">
        <v>-5</v>
      </c>
      <c r="BA41" s="52">
        <f>+BB41-AZ41</f>
        <v>-1</v>
      </c>
      <c r="BB41" s="170">
        <v>-6</v>
      </c>
      <c r="BC41" s="52">
        <f>+BD41-BB41</f>
        <v>-4</v>
      </c>
      <c r="BD41" s="170">
        <v>-10</v>
      </c>
      <c r="BE41" s="52">
        <f>+BF41-BD41</f>
        <v>-3</v>
      </c>
      <c r="BF41" s="237">
        <v>-13</v>
      </c>
      <c r="BH41" s="218">
        <v>-4</v>
      </c>
      <c r="BI41" s="52">
        <f t="shared" si="22"/>
        <v>-1</v>
      </c>
      <c r="BJ41" s="170">
        <v>-5</v>
      </c>
      <c r="BK41" s="52">
        <f>+BL41-BJ41</f>
        <v>-6</v>
      </c>
      <c r="BL41" s="170">
        <v>-11</v>
      </c>
      <c r="BM41" s="52">
        <f>+BN41-BL41</f>
        <v>-2</v>
      </c>
      <c r="BN41" s="237">
        <v>-13</v>
      </c>
      <c r="BP41" s="218">
        <v>-9</v>
      </c>
      <c r="BQ41" s="52">
        <f t="shared" si="23"/>
        <v>9</v>
      </c>
      <c r="BR41" s="170"/>
      <c r="BS41" s="52">
        <f>+BT41-BR41</f>
        <v>0</v>
      </c>
      <c r="BT41" s="170"/>
      <c r="BU41" s="52">
        <f>+BV41-BT41</f>
        <v>0</v>
      </c>
      <c r="BV41" s="237"/>
    </row>
    <row r="42" spans="1:74" s="61" customFormat="1" ht="16.5" customHeight="1">
      <c r="A42" s="66"/>
      <c r="B42" s="139" t="s">
        <v>126</v>
      </c>
      <c r="D42" s="149">
        <f aca="true" t="shared" si="38" ref="D42:J42">+D40+D41</f>
        <v>-142</v>
      </c>
      <c r="E42" s="147">
        <f t="shared" si="38"/>
        <v>294</v>
      </c>
      <c r="F42" s="147">
        <f t="shared" si="38"/>
        <v>152</v>
      </c>
      <c r="G42" s="147">
        <f t="shared" si="38"/>
        <v>22</v>
      </c>
      <c r="H42" s="147">
        <f t="shared" si="38"/>
        <v>174</v>
      </c>
      <c r="I42" s="270">
        <f t="shared" si="38"/>
        <v>-78</v>
      </c>
      <c r="J42" s="128">
        <f t="shared" si="38"/>
        <v>96</v>
      </c>
      <c r="L42" s="149">
        <f aca="true" t="shared" si="39" ref="L42:R42">+L40+L41</f>
        <v>101</v>
      </c>
      <c r="M42" s="147">
        <f t="shared" si="39"/>
        <v>15</v>
      </c>
      <c r="N42" s="147">
        <f t="shared" si="39"/>
        <v>116</v>
      </c>
      <c r="O42" s="147">
        <f t="shared" si="39"/>
        <v>61</v>
      </c>
      <c r="P42" s="147">
        <f t="shared" si="39"/>
        <v>177</v>
      </c>
      <c r="Q42" s="270">
        <f t="shared" si="39"/>
        <v>-137</v>
      </c>
      <c r="R42" s="128">
        <f t="shared" si="39"/>
        <v>40</v>
      </c>
      <c r="T42" s="149">
        <f aca="true" t="shared" si="40" ref="T42:Z42">+T40+T41</f>
        <v>101</v>
      </c>
      <c r="U42" s="147">
        <f t="shared" si="40"/>
        <v>15</v>
      </c>
      <c r="V42" s="147">
        <f t="shared" si="40"/>
        <v>116</v>
      </c>
      <c r="W42" s="147">
        <f t="shared" si="40"/>
        <v>61</v>
      </c>
      <c r="X42" s="147">
        <f t="shared" si="40"/>
        <v>177</v>
      </c>
      <c r="Y42" s="270">
        <f t="shared" si="40"/>
        <v>-137</v>
      </c>
      <c r="Z42" s="128">
        <f t="shared" si="40"/>
        <v>40</v>
      </c>
      <c r="AB42" s="149">
        <f aca="true" t="shared" si="41" ref="AB42:AH42">+AB40+AB41</f>
        <v>-153</v>
      </c>
      <c r="AC42" s="147">
        <f t="shared" si="41"/>
        <v>-54</v>
      </c>
      <c r="AD42" s="147">
        <f t="shared" si="41"/>
        <v>-207</v>
      </c>
      <c r="AE42" s="147">
        <f t="shared" si="41"/>
        <v>-24</v>
      </c>
      <c r="AF42" s="147">
        <f t="shared" si="41"/>
        <v>-231</v>
      </c>
      <c r="AG42" s="270">
        <f t="shared" si="41"/>
        <v>-749</v>
      </c>
      <c r="AH42" s="128">
        <f t="shared" si="41"/>
        <v>-980</v>
      </c>
      <c r="AJ42" s="149">
        <f>+AJ40+AJ41</f>
        <v>-76</v>
      </c>
      <c r="AK42" s="147">
        <f>+AK40+AK41</f>
        <v>9</v>
      </c>
      <c r="AL42" s="147">
        <f>+AL40+AL41</f>
        <v>-67</v>
      </c>
      <c r="AM42" s="147">
        <f>+AM40+AM41</f>
        <v>-40</v>
      </c>
      <c r="AN42" s="147">
        <f>SUM(AN40:AN41)</f>
        <v>-107</v>
      </c>
      <c r="AO42" s="270">
        <f t="shared" si="3"/>
        <v>-282</v>
      </c>
      <c r="AP42" s="128">
        <f>+AP40+AP41</f>
        <v>-389</v>
      </c>
      <c r="AR42" s="149">
        <f>+AR40+AR41</f>
        <v>-19</v>
      </c>
      <c r="AS42" s="147">
        <f>+AS40+AS41</f>
        <v>-121</v>
      </c>
      <c r="AT42" s="147">
        <f>+AT40+AT41</f>
        <v>-140</v>
      </c>
      <c r="AU42" s="147">
        <f>+AU40+AU41</f>
        <v>30</v>
      </c>
      <c r="AV42" s="333">
        <f>SUM(AV40:AV41)</f>
        <v>-110</v>
      </c>
      <c r="AW42" s="270">
        <f t="shared" si="24"/>
        <v>-66</v>
      </c>
      <c r="AX42" s="128">
        <f>+AX40+AX41</f>
        <v>-176</v>
      </c>
      <c r="AZ42" s="149">
        <f>+AZ40+AZ41</f>
        <v>-19</v>
      </c>
      <c r="BA42" s="147">
        <f>+BA40+BA41</f>
        <v>-121</v>
      </c>
      <c r="BB42" s="147">
        <f>+BB40+BB41</f>
        <v>-140</v>
      </c>
      <c r="BC42" s="147">
        <f>+BC40+BC41</f>
        <v>30</v>
      </c>
      <c r="BD42" s="333">
        <f>SUM(BD40:BD41)</f>
        <v>-110</v>
      </c>
      <c r="BE42" s="270">
        <v>0</v>
      </c>
      <c r="BF42" s="128">
        <f>+BF40+BF41</f>
        <v>-176</v>
      </c>
      <c r="BH42" s="149">
        <f>+BH40+BH41</f>
        <v>42</v>
      </c>
      <c r="BI42" s="270">
        <f t="shared" si="22"/>
        <v>20</v>
      </c>
      <c r="BJ42" s="147">
        <f>+BJ40+BJ41</f>
        <v>62</v>
      </c>
      <c r="BK42" s="147">
        <f>+BK40+BK41</f>
        <v>25</v>
      </c>
      <c r="BL42" s="147">
        <f>+BL40+BL41</f>
        <v>87</v>
      </c>
      <c r="BM42" s="147">
        <f>+BM40+BM41</f>
        <v>-33</v>
      </c>
      <c r="BN42" s="499">
        <f>+BN40+BN41</f>
        <v>54</v>
      </c>
      <c r="BP42" s="149">
        <f>+BP40+BP41</f>
        <v>79</v>
      </c>
      <c r="BQ42" s="270">
        <f t="shared" si="23"/>
        <v>-79</v>
      </c>
      <c r="BR42" s="147">
        <f>+BR40+BR41</f>
        <v>0</v>
      </c>
      <c r="BS42" s="147">
        <f>+BS40+BS41</f>
        <v>0</v>
      </c>
      <c r="BT42" s="147">
        <f>+BT40+BT41</f>
        <v>0</v>
      </c>
      <c r="BU42" s="147">
        <f>+BU40+BU41</f>
        <v>0</v>
      </c>
      <c r="BV42" s="499">
        <f>+BV40+BV41</f>
        <v>0</v>
      </c>
    </row>
    <row r="43" spans="2:56" ht="12.75">
      <c r="B43" s="124"/>
      <c r="I43" s="57"/>
      <c r="AV43" s="164"/>
      <c r="BD43" s="164"/>
    </row>
    <row r="44" spans="2:68" ht="12.75">
      <c r="B44" s="48"/>
      <c r="I44" s="57"/>
      <c r="AV44" s="164"/>
      <c r="BD44" s="164"/>
      <c r="BH44" s="51"/>
      <c r="BP44" s="51"/>
    </row>
    <row r="45" spans="2:74" s="51" customFormat="1" ht="17.25" customHeight="1">
      <c r="B45" s="129" t="s">
        <v>207</v>
      </c>
      <c r="D45" s="322" t="s">
        <v>220</v>
      </c>
      <c r="E45" s="323" t="s">
        <v>221</v>
      </c>
      <c r="F45" s="323" t="s">
        <v>222</v>
      </c>
      <c r="G45" s="323" t="s">
        <v>223</v>
      </c>
      <c r="H45" s="323" t="s">
        <v>224</v>
      </c>
      <c r="I45" s="323" t="s">
        <v>225</v>
      </c>
      <c r="J45" s="324" t="s">
        <v>226</v>
      </c>
      <c r="L45" s="322" t="s">
        <v>234</v>
      </c>
      <c r="M45" s="323" t="s">
        <v>235</v>
      </c>
      <c r="N45" s="323" t="s">
        <v>236</v>
      </c>
      <c r="O45" s="323" t="s">
        <v>237</v>
      </c>
      <c r="P45" s="323" t="s">
        <v>238</v>
      </c>
      <c r="Q45" s="323" t="s">
        <v>239</v>
      </c>
      <c r="R45" s="324" t="s">
        <v>240</v>
      </c>
      <c r="T45" s="322" t="str">
        <f aca="true" t="shared" si="42" ref="T45:Z45">+T4</f>
        <v>IQ 2014</v>
      </c>
      <c r="U45" s="323" t="str">
        <f t="shared" si="42"/>
        <v>IIQ 2014</v>
      </c>
      <c r="V45" s="323" t="str">
        <f t="shared" si="42"/>
        <v>IH 2014</v>
      </c>
      <c r="W45" s="323" t="str">
        <f t="shared" si="42"/>
        <v>III Q 2014</v>
      </c>
      <c r="X45" s="323" t="str">
        <f t="shared" si="42"/>
        <v>9M 2014</v>
      </c>
      <c r="Y45" s="323" t="str">
        <f t="shared" si="42"/>
        <v>IV Q 2014</v>
      </c>
      <c r="Z45" s="324" t="str">
        <f t="shared" si="42"/>
        <v>FY 2014</v>
      </c>
      <c r="AB45" s="322" t="str">
        <f aca="true" t="shared" si="43" ref="AB45:AH45">+AB4</f>
        <v>IQ 2015</v>
      </c>
      <c r="AC45" s="323" t="str">
        <f t="shared" si="43"/>
        <v>IIQ 2015</v>
      </c>
      <c r="AD45" s="323" t="str">
        <f t="shared" si="43"/>
        <v>IH 2015</v>
      </c>
      <c r="AE45" s="323" t="str">
        <f t="shared" si="43"/>
        <v>III Q 2015</v>
      </c>
      <c r="AF45" s="323" t="str">
        <f t="shared" si="43"/>
        <v>9M 2015</v>
      </c>
      <c r="AG45" s="323" t="str">
        <f t="shared" si="43"/>
        <v>IV Q 2015</v>
      </c>
      <c r="AH45" s="324" t="str">
        <f t="shared" si="43"/>
        <v>FY 2015</v>
      </c>
      <c r="AJ45" s="322" t="s">
        <v>279</v>
      </c>
      <c r="AK45" s="323" t="s">
        <v>280</v>
      </c>
      <c r="AL45" s="323" t="s">
        <v>281</v>
      </c>
      <c r="AM45" s="323" t="s">
        <v>282</v>
      </c>
      <c r="AN45" s="323" t="s">
        <v>283</v>
      </c>
      <c r="AO45" s="323" t="s">
        <v>284</v>
      </c>
      <c r="AP45" s="324" t="s">
        <v>355</v>
      </c>
      <c r="AR45" s="444" t="str">
        <f>+AR4</f>
        <v>IQ 2017</v>
      </c>
      <c r="AS45" s="445" t="str">
        <f aca="true" t="shared" si="44" ref="AS45:AX45">+AS4</f>
        <v>IIQ 2017</v>
      </c>
      <c r="AT45" s="445" t="str">
        <f t="shared" si="44"/>
        <v>IH 2017</v>
      </c>
      <c r="AU45" s="445" t="str">
        <f t="shared" si="44"/>
        <v>III Q 2017</v>
      </c>
      <c r="AV45" s="445" t="str">
        <f t="shared" si="44"/>
        <v>9M 2017</v>
      </c>
      <c r="AW45" s="445" t="str">
        <f t="shared" si="44"/>
        <v>IV Q 2017</v>
      </c>
      <c r="AX45" s="446" t="str">
        <f t="shared" si="44"/>
        <v>FY 2017</v>
      </c>
      <c r="AZ45" s="444" t="s">
        <v>506</v>
      </c>
      <c r="BA45" s="445" t="s">
        <v>508</v>
      </c>
      <c r="BB45" s="445" t="s">
        <v>561</v>
      </c>
      <c r="BC45" s="445" t="s">
        <v>509</v>
      </c>
      <c r="BD45" s="445" t="s">
        <v>510</v>
      </c>
      <c r="BE45" s="445" t="s">
        <v>511</v>
      </c>
      <c r="BF45" s="446" t="s">
        <v>533</v>
      </c>
      <c r="BH45" s="444" t="s">
        <v>587</v>
      </c>
      <c r="BI45" s="445" t="str">
        <f aca="true" t="shared" si="45" ref="BI45:BN45">+BI4</f>
        <v>IIQ 2018 </v>
      </c>
      <c r="BJ45" s="445" t="str">
        <f t="shared" si="45"/>
        <v>IH 2018</v>
      </c>
      <c r="BK45" s="445" t="str">
        <f t="shared" si="45"/>
        <v>III Q 2018</v>
      </c>
      <c r="BL45" s="445" t="str">
        <f t="shared" si="45"/>
        <v>9M 2018</v>
      </c>
      <c r="BM45" s="445" t="str">
        <f t="shared" si="45"/>
        <v>IV Q 2018</v>
      </c>
      <c r="BN45" s="446" t="str">
        <f t="shared" si="45"/>
        <v>FY 2018</v>
      </c>
      <c r="BP45" s="444" t="str">
        <f>+BP4</f>
        <v>IQ 2019</v>
      </c>
      <c r="BQ45" s="445" t="str">
        <f aca="true" t="shared" si="46" ref="BQ45:BV45">+BQ4</f>
        <v>IIQ 2019 </v>
      </c>
      <c r="BR45" s="445" t="str">
        <f t="shared" si="46"/>
        <v>IH 2019</v>
      </c>
      <c r="BS45" s="445" t="str">
        <f t="shared" si="46"/>
        <v>III Q 2019</v>
      </c>
      <c r="BT45" s="445" t="str">
        <f t="shared" si="46"/>
        <v>9M 2019</v>
      </c>
      <c r="BU45" s="445" t="str">
        <f t="shared" si="46"/>
        <v>IV Q 2019</v>
      </c>
      <c r="BV45" s="446" t="str">
        <f t="shared" si="46"/>
        <v>FY 2019</v>
      </c>
    </row>
    <row r="46" spans="2:74" ht="12.75">
      <c r="B46" s="133"/>
      <c r="D46" s="103"/>
      <c r="I46" s="57"/>
      <c r="J46" s="95"/>
      <c r="L46" s="103"/>
      <c r="R46" s="95"/>
      <c r="T46" s="103"/>
      <c r="Z46" s="95"/>
      <c r="AB46" s="103"/>
      <c r="AH46" s="95"/>
      <c r="AJ46" s="103"/>
      <c r="AP46" s="95"/>
      <c r="AR46" s="103"/>
      <c r="AV46" s="164"/>
      <c r="AX46" s="95"/>
      <c r="AZ46" s="103"/>
      <c r="BD46" s="164"/>
      <c r="BF46" s="95"/>
      <c r="BH46" s="103"/>
      <c r="BL46" s="164"/>
      <c r="BN46" s="95"/>
      <c r="BP46" s="103"/>
      <c r="BT46" s="164"/>
      <c r="BV46" s="95"/>
    </row>
    <row r="47" spans="2:74" ht="12.75">
      <c r="B47" s="134" t="s">
        <v>127</v>
      </c>
      <c r="D47" s="222">
        <v>9542</v>
      </c>
      <c r="E47" s="223"/>
      <c r="F47" s="224">
        <v>10020</v>
      </c>
      <c r="G47" s="224"/>
      <c r="H47" s="224">
        <v>9651</v>
      </c>
      <c r="I47" s="59"/>
      <c r="J47" s="238">
        <v>9690</v>
      </c>
      <c r="L47" s="222">
        <v>9534</v>
      </c>
      <c r="M47" s="223"/>
      <c r="N47" s="224">
        <v>9694</v>
      </c>
      <c r="O47" s="224"/>
      <c r="P47" s="224">
        <v>9631</v>
      </c>
      <c r="Q47" s="59"/>
      <c r="R47" s="238">
        <v>8903</v>
      </c>
      <c r="T47" s="222">
        <v>9534</v>
      </c>
      <c r="U47" s="223"/>
      <c r="V47" s="224">
        <v>9694</v>
      </c>
      <c r="W47" s="224"/>
      <c r="X47" s="224">
        <v>9631</v>
      </c>
      <c r="Y47" s="59"/>
      <c r="Z47" s="238">
        <v>8903</v>
      </c>
      <c r="AB47" s="222">
        <v>8720</v>
      </c>
      <c r="AC47" s="223"/>
      <c r="AD47" s="224">
        <v>8754</v>
      </c>
      <c r="AE47" s="224"/>
      <c r="AF47" s="224">
        <v>8523</v>
      </c>
      <c r="AG47" s="59"/>
      <c r="AH47" s="238">
        <v>7023</v>
      </c>
      <c r="AJ47" s="222">
        <v>6985</v>
      </c>
      <c r="AK47" s="223"/>
      <c r="AL47" s="224">
        <v>7337</v>
      </c>
      <c r="AM47" s="224"/>
      <c r="AN47" s="224">
        <v>7578</v>
      </c>
      <c r="AO47" s="59"/>
      <c r="AP47" s="238">
        <v>7327</v>
      </c>
      <c r="AR47" s="222">
        <v>7228</v>
      </c>
      <c r="AS47" s="223"/>
      <c r="AT47" s="224">
        <v>6884</v>
      </c>
      <c r="AU47" s="224"/>
      <c r="AV47" s="224">
        <v>6832</v>
      </c>
      <c r="AW47" s="59"/>
      <c r="AX47" s="238">
        <v>6319</v>
      </c>
      <c r="AZ47" s="222">
        <v>7228</v>
      </c>
      <c r="BA47" s="223"/>
      <c r="BB47" s="224">
        <v>6884</v>
      </c>
      <c r="BC47" s="52"/>
      <c r="BD47" s="224">
        <v>6832</v>
      </c>
      <c r="BE47" s="59"/>
      <c r="BF47" s="238">
        <v>6319</v>
      </c>
      <c r="BH47" s="222">
        <v>6699</v>
      </c>
      <c r="BI47" s="223"/>
      <c r="BJ47" s="224">
        <v>6483</v>
      </c>
      <c r="BK47" s="224"/>
      <c r="BL47" s="224">
        <v>6584</v>
      </c>
      <c r="BM47" s="59"/>
      <c r="BN47" s="238">
        <v>6557</v>
      </c>
      <c r="BP47" s="167">
        <f>+BP49+BP52</f>
        <v>6853</v>
      </c>
      <c r="BQ47" s="223"/>
      <c r="BR47" s="224"/>
      <c r="BS47" s="224"/>
      <c r="BT47" s="224"/>
      <c r="BU47" s="59"/>
      <c r="BV47" s="238"/>
    </row>
    <row r="48" spans="1:74" s="58" customFormat="1" ht="12.75">
      <c r="A48" s="57"/>
      <c r="B48" s="133"/>
      <c r="D48" s="214"/>
      <c r="E48" s="219"/>
      <c r="F48" s="219"/>
      <c r="G48" s="219"/>
      <c r="H48" s="219"/>
      <c r="J48" s="239"/>
      <c r="L48" s="214"/>
      <c r="M48" s="219"/>
      <c r="N48" s="219"/>
      <c r="O48" s="219"/>
      <c r="P48" s="219"/>
      <c r="R48" s="239"/>
      <c r="T48" s="214"/>
      <c r="U48" s="219"/>
      <c r="V48" s="219"/>
      <c r="W48" s="219"/>
      <c r="X48" s="219"/>
      <c r="Z48" s="239"/>
      <c r="AB48" s="214"/>
      <c r="AC48" s="219"/>
      <c r="AD48" s="219"/>
      <c r="AE48" s="219"/>
      <c r="AF48" s="219"/>
      <c r="AH48" s="239"/>
      <c r="AJ48" s="214"/>
      <c r="AK48" s="219"/>
      <c r="AL48" s="219"/>
      <c r="AM48" s="219"/>
      <c r="AN48" s="219"/>
      <c r="AP48" s="239"/>
      <c r="AR48" s="214"/>
      <c r="AS48" s="219"/>
      <c r="AT48" s="219"/>
      <c r="AU48" s="219"/>
      <c r="AV48" s="219"/>
      <c r="AX48" s="239"/>
      <c r="AZ48" s="214"/>
      <c r="BA48" s="219"/>
      <c r="BB48" s="219"/>
      <c r="BC48" s="219"/>
      <c r="BD48" s="219"/>
      <c r="BF48" s="239"/>
      <c r="BH48" s="214"/>
      <c r="BI48" s="219"/>
      <c r="BJ48" s="219"/>
      <c r="BK48" s="219"/>
      <c r="BL48" s="219"/>
      <c r="BN48" s="239"/>
      <c r="BP48" s="214"/>
      <c r="BQ48" s="219"/>
      <c r="BR48" s="219"/>
      <c r="BS48" s="219"/>
      <c r="BT48" s="219"/>
      <c r="BV48" s="239"/>
    </row>
    <row r="49" spans="1:74" ht="15" customHeight="1">
      <c r="A49" s="58"/>
      <c r="B49" s="134" t="s">
        <v>128</v>
      </c>
      <c r="D49" s="222">
        <v>7084</v>
      </c>
      <c r="E49" s="223"/>
      <c r="F49" s="224">
        <v>7272</v>
      </c>
      <c r="G49" s="224"/>
      <c r="H49" s="225">
        <v>7292</v>
      </c>
      <c r="I49" s="59"/>
      <c r="J49" s="240">
        <v>7239</v>
      </c>
      <c r="L49" s="222">
        <v>7305</v>
      </c>
      <c r="M49" s="223"/>
      <c r="N49" s="224">
        <v>7430</v>
      </c>
      <c r="O49" s="224"/>
      <c r="P49" s="225">
        <v>7486</v>
      </c>
      <c r="Q49" s="59"/>
      <c r="R49" s="240">
        <v>7137</v>
      </c>
      <c r="T49" s="222">
        <v>7305</v>
      </c>
      <c r="U49" s="223"/>
      <c r="V49" s="224">
        <v>7430</v>
      </c>
      <c r="W49" s="224"/>
      <c r="X49" s="225">
        <v>7486</v>
      </c>
      <c r="Y49" s="59"/>
      <c r="Z49" s="240">
        <v>7137</v>
      </c>
      <c r="AB49" s="222">
        <v>7117</v>
      </c>
      <c r="AC49" s="223"/>
      <c r="AD49" s="224">
        <v>7075</v>
      </c>
      <c r="AE49" s="224"/>
      <c r="AF49" s="225">
        <v>6805</v>
      </c>
      <c r="AG49" s="59"/>
      <c r="AH49" s="240">
        <v>5876</v>
      </c>
      <c r="AJ49" s="222">
        <v>5844</v>
      </c>
      <c r="AK49" s="223"/>
      <c r="AL49" s="224">
        <v>6270</v>
      </c>
      <c r="AM49" s="224"/>
      <c r="AN49" s="225">
        <v>6372</v>
      </c>
      <c r="AO49" s="59"/>
      <c r="AP49" s="240">
        <v>6265</v>
      </c>
      <c r="AR49" s="222">
        <v>6294</v>
      </c>
      <c r="AS49" s="223"/>
      <c r="AT49" s="224">
        <v>6104</v>
      </c>
      <c r="AU49" s="224"/>
      <c r="AV49" s="225">
        <v>6210</v>
      </c>
      <c r="AW49" s="59"/>
      <c r="AX49" s="240">
        <v>6203</v>
      </c>
      <c r="AZ49" s="222">
        <v>6294</v>
      </c>
      <c r="BA49" s="223"/>
      <c r="BB49" s="224">
        <v>6104</v>
      </c>
      <c r="BC49" s="224"/>
      <c r="BD49" s="225">
        <v>6210</v>
      </c>
      <c r="BE49" s="59"/>
      <c r="BF49" s="240">
        <v>6203</v>
      </c>
      <c r="BH49" s="222">
        <v>6222</v>
      </c>
      <c r="BI49" s="223"/>
      <c r="BJ49" s="224">
        <v>6280</v>
      </c>
      <c r="BK49" s="224"/>
      <c r="BL49" s="225">
        <v>6274</v>
      </c>
      <c r="BM49" s="59"/>
      <c r="BN49" s="240">
        <v>6141</v>
      </c>
      <c r="BP49" s="222">
        <v>6238</v>
      </c>
      <c r="BQ49" s="223"/>
      <c r="BR49" s="224"/>
      <c r="BS49" s="224"/>
      <c r="BT49" s="225"/>
      <c r="BU49" s="59"/>
      <c r="BV49" s="240"/>
    </row>
    <row r="50" spans="1:74" s="58" customFormat="1" ht="12.75">
      <c r="A50" s="57"/>
      <c r="B50" s="133" t="s">
        <v>129</v>
      </c>
      <c r="D50" s="215">
        <v>6972</v>
      </c>
      <c r="E50" s="210"/>
      <c r="F50" s="220">
        <v>7166</v>
      </c>
      <c r="G50" s="212"/>
      <c r="H50" s="220">
        <v>7180</v>
      </c>
      <c r="I50" s="65"/>
      <c r="J50" s="241">
        <v>7126</v>
      </c>
      <c r="L50" s="215">
        <v>7197</v>
      </c>
      <c r="M50" s="210"/>
      <c r="N50" s="220">
        <v>7315</v>
      </c>
      <c r="O50" s="212"/>
      <c r="P50" s="220">
        <v>7363</v>
      </c>
      <c r="Q50" s="65"/>
      <c r="R50" s="241">
        <v>6627</v>
      </c>
      <c r="T50" s="215">
        <v>7197</v>
      </c>
      <c r="U50" s="210"/>
      <c r="V50" s="220">
        <v>7315</v>
      </c>
      <c r="W50" s="212"/>
      <c r="X50" s="220">
        <v>7363</v>
      </c>
      <c r="Y50" s="65"/>
      <c r="Z50" s="241">
        <v>6627</v>
      </c>
      <c r="AB50" s="215">
        <v>6603</v>
      </c>
      <c r="AC50" s="210"/>
      <c r="AD50" s="220">
        <v>6618</v>
      </c>
      <c r="AE50" s="212"/>
      <c r="AF50" s="220">
        <v>6338</v>
      </c>
      <c r="AG50" s="65"/>
      <c r="AH50" s="241">
        <v>5439</v>
      </c>
      <c r="AJ50" s="215">
        <v>5475</v>
      </c>
      <c r="AK50" s="210"/>
      <c r="AL50" s="220">
        <v>5922</v>
      </c>
      <c r="AM50" s="212"/>
      <c r="AN50" s="220">
        <v>6037</v>
      </c>
      <c r="AO50" s="65"/>
      <c r="AP50" s="241">
        <v>5955</v>
      </c>
      <c r="AR50" s="215">
        <v>5979</v>
      </c>
      <c r="AS50" s="210"/>
      <c r="AT50" s="220">
        <v>5817</v>
      </c>
      <c r="AU50" s="212"/>
      <c r="AV50" s="220">
        <v>5919</v>
      </c>
      <c r="AW50" s="65"/>
      <c r="AX50" s="241">
        <v>5915</v>
      </c>
      <c r="AZ50" s="215">
        <v>5979</v>
      </c>
      <c r="BA50" s="210"/>
      <c r="BB50" s="220">
        <v>5817</v>
      </c>
      <c r="BC50" s="212"/>
      <c r="BD50" s="220">
        <v>5919</v>
      </c>
      <c r="BE50" s="65"/>
      <c r="BF50" s="241">
        <v>5915</v>
      </c>
      <c r="BH50" s="215">
        <v>5931</v>
      </c>
      <c r="BI50" s="210"/>
      <c r="BJ50" s="220">
        <v>6017</v>
      </c>
      <c r="BK50" s="212"/>
      <c r="BL50" s="220">
        <v>6004</v>
      </c>
      <c r="BM50" s="65"/>
      <c r="BN50" s="241">
        <v>5886</v>
      </c>
      <c r="BP50" s="215">
        <v>5977</v>
      </c>
      <c r="BQ50" s="210"/>
      <c r="BR50" s="220"/>
      <c r="BS50" s="212"/>
      <c r="BT50" s="220"/>
      <c r="BU50" s="65"/>
      <c r="BV50" s="241"/>
    </row>
    <row r="51" spans="2:74" s="58" customFormat="1" ht="12.75">
      <c r="B51" s="136"/>
      <c r="D51" s="214"/>
      <c r="E51" s="219"/>
      <c r="F51" s="219"/>
      <c r="G51" s="219"/>
      <c r="H51" s="212"/>
      <c r="J51" s="242"/>
      <c r="L51" s="214"/>
      <c r="M51" s="219"/>
      <c r="N51" s="219"/>
      <c r="O51" s="219"/>
      <c r="P51" s="212"/>
      <c r="R51" s="242"/>
      <c r="T51" s="214"/>
      <c r="U51" s="219"/>
      <c r="V51" s="219"/>
      <c r="W51" s="219"/>
      <c r="X51" s="212"/>
      <c r="Z51" s="242"/>
      <c r="AB51" s="214"/>
      <c r="AC51" s="219"/>
      <c r="AD51" s="219"/>
      <c r="AE51" s="219"/>
      <c r="AF51" s="212"/>
      <c r="AH51" s="242"/>
      <c r="AJ51" s="214"/>
      <c r="AK51" s="219"/>
      <c r="AL51" s="219"/>
      <c r="AM51" s="219"/>
      <c r="AN51" s="212"/>
      <c r="AP51" s="242"/>
      <c r="AR51" s="214"/>
      <c r="AS51" s="219"/>
      <c r="AT51" s="219"/>
      <c r="AU51" s="219"/>
      <c r="AV51" s="212"/>
      <c r="AX51" s="242"/>
      <c r="AZ51" s="214"/>
      <c r="BA51" s="219"/>
      <c r="BB51" s="219"/>
      <c r="BC51" s="219"/>
      <c r="BD51" s="212"/>
      <c r="BF51" s="242"/>
      <c r="BH51" s="214"/>
      <c r="BI51" s="219"/>
      <c r="BJ51" s="219"/>
      <c r="BK51" s="219"/>
      <c r="BL51" s="212"/>
      <c r="BN51" s="242"/>
      <c r="BP51" s="214"/>
      <c r="BQ51" s="219"/>
      <c r="BR51" s="219"/>
      <c r="BS51" s="219"/>
      <c r="BT51" s="212"/>
      <c r="BV51" s="242"/>
    </row>
    <row r="52" spans="2:74" s="61" customFormat="1" ht="12" customHeight="1">
      <c r="B52" s="135" t="s">
        <v>130</v>
      </c>
      <c r="D52" s="226">
        <v>2458</v>
      </c>
      <c r="E52" s="223"/>
      <c r="F52" s="227">
        <v>2748</v>
      </c>
      <c r="G52" s="224"/>
      <c r="H52" s="227">
        <v>2359</v>
      </c>
      <c r="I52" s="59"/>
      <c r="J52" s="243">
        <v>2451</v>
      </c>
      <c r="L52" s="226">
        <v>2229</v>
      </c>
      <c r="M52" s="223"/>
      <c r="N52" s="227">
        <v>2264</v>
      </c>
      <c r="O52" s="224"/>
      <c r="P52" s="227">
        <v>2145</v>
      </c>
      <c r="Q52" s="59"/>
      <c r="R52" s="243">
        <v>1766</v>
      </c>
      <c r="T52" s="226">
        <v>2229</v>
      </c>
      <c r="U52" s="223"/>
      <c r="V52" s="227">
        <v>2264</v>
      </c>
      <c r="W52" s="224"/>
      <c r="X52" s="227">
        <v>2145</v>
      </c>
      <c r="Y52" s="59"/>
      <c r="Z52" s="243">
        <v>1766</v>
      </c>
      <c r="AB52" s="226">
        <v>1603</v>
      </c>
      <c r="AC52" s="223"/>
      <c r="AD52" s="227">
        <v>1679</v>
      </c>
      <c r="AE52" s="224"/>
      <c r="AF52" s="227">
        <v>1718</v>
      </c>
      <c r="AG52" s="59"/>
      <c r="AH52" s="243">
        <v>1147</v>
      </c>
      <c r="AJ52" s="226">
        <v>1141</v>
      </c>
      <c r="AK52" s="223"/>
      <c r="AL52" s="227">
        <v>1067</v>
      </c>
      <c r="AM52" s="224"/>
      <c r="AN52" s="227">
        <v>1206</v>
      </c>
      <c r="AO52" s="59"/>
      <c r="AP52" s="243">
        <v>1062</v>
      </c>
      <c r="AR52" s="226">
        <v>934</v>
      </c>
      <c r="AS52" s="223"/>
      <c r="AT52" s="227">
        <v>780</v>
      </c>
      <c r="AU52" s="224"/>
      <c r="AV52" s="227">
        <v>622</v>
      </c>
      <c r="AW52" s="59"/>
      <c r="AX52" s="243">
        <v>116</v>
      </c>
      <c r="AZ52" s="226">
        <v>934</v>
      </c>
      <c r="BA52" s="223"/>
      <c r="BB52" s="227">
        <v>780</v>
      </c>
      <c r="BC52" s="224"/>
      <c r="BD52" s="227">
        <v>622</v>
      </c>
      <c r="BE52" s="59"/>
      <c r="BF52" s="243">
        <v>116</v>
      </c>
      <c r="BH52" s="226">
        <v>477</v>
      </c>
      <c r="BI52" s="223"/>
      <c r="BJ52" s="227">
        <v>203</v>
      </c>
      <c r="BK52" s="224"/>
      <c r="BL52" s="227">
        <v>310</v>
      </c>
      <c r="BM52" s="59"/>
      <c r="BN52" s="243">
        <v>416</v>
      </c>
      <c r="BP52" s="226">
        <v>615</v>
      </c>
      <c r="BQ52" s="223"/>
      <c r="BR52" s="227"/>
      <c r="BS52" s="224"/>
      <c r="BT52" s="227"/>
      <c r="BU52" s="59"/>
      <c r="BV52" s="243"/>
    </row>
    <row r="53" spans="2:74" s="61" customFormat="1" ht="12.75">
      <c r="B53" s="135"/>
      <c r="D53" s="228"/>
      <c r="E53" s="229"/>
      <c r="F53" s="229"/>
      <c r="G53" s="229"/>
      <c r="H53" s="229"/>
      <c r="J53" s="151"/>
      <c r="L53" s="228"/>
      <c r="M53" s="229"/>
      <c r="N53" s="229"/>
      <c r="O53" s="229"/>
      <c r="P53" s="229"/>
      <c r="R53" s="151"/>
      <c r="T53" s="228"/>
      <c r="U53" s="229"/>
      <c r="V53" s="229"/>
      <c r="W53" s="229"/>
      <c r="X53" s="229"/>
      <c r="Z53" s="151"/>
      <c r="AB53" s="228"/>
      <c r="AC53" s="229"/>
      <c r="AD53" s="229"/>
      <c r="AE53" s="229"/>
      <c r="AF53" s="229"/>
      <c r="AH53" s="151"/>
      <c r="AJ53" s="228"/>
      <c r="AK53" s="229"/>
      <c r="AL53" s="229"/>
      <c r="AM53" s="229"/>
      <c r="AN53" s="229"/>
      <c r="AP53" s="151"/>
      <c r="AR53" s="228"/>
      <c r="AS53" s="229"/>
      <c r="AT53" s="229"/>
      <c r="AU53" s="229"/>
      <c r="AV53" s="229"/>
      <c r="AX53" s="151"/>
      <c r="AZ53" s="228"/>
      <c r="BA53" s="229"/>
      <c r="BB53" s="229"/>
      <c r="BC53" s="229"/>
      <c r="BD53" s="229"/>
      <c r="BF53" s="151"/>
      <c r="BH53" s="228"/>
      <c r="BI53" s="229"/>
      <c r="BJ53" s="229"/>
      <c r="BK53" s="229"/>
      <c r="BL53" s="229"/>
      <c r="BN53" s="151"/>
      <c r="BP53" s="228"/>
      <c r="BQ53" s="229"/>
      <c r="BR53" s="229"/>
      <c r="BS53" s="229"/>
      <c r="BT53" s="229"/>
      <c r="BV53" s="151"/>
    </row>
    <row r="54" spans="1:74" s="61" customFormat="1" ht="12.75" customHeight="1">
      <c r="A54" s="151"/>
      <c r="B54" s="135" t="s">
        <v>137</v>
      </c>
      <c r="C54" s="135"/>
      <c r="D54" s="303">
        <f>+D52/D49</f>
        <v>0.3469791078486731</v>
      </c>
      <c r="F54" s="304">
        <f>+F52/F49</f>
        <v>0.3778877887788779</v>
      </c>
      <c r="G54" s="304"/>
      <c r="H54" s="304">
        <f>+H52/H49</f>
        <v>0.3235052111903456</v>
      </c>
      <c r="J54" s="305">
        <f>+J52/J49</f>
        <v>0.33858267716535434</v>
      </c>
      <c r="K54" s="151"/>
      <c r="L54" s="303">
        <f>+L52/L49</f>
        <v>0.30513347022587267</v>
      </c>
      <c r="N54" s="304">
        <f>+N52/N49</f>
        <v>0.3047106325706595</v>
      </c>
      <c r="O54" s="304"/>
      <c r="P54" s="304">
        <f>+P52/P49</f>
        <v>0.28653486508148546</v>
      </c>
      <c r="R54" s="305">
        <f>+R52/R49</f>
        <v>0.2474429031806081</v>
      </c>
      <c r="S54" s="151"/>
      <c r="T54" s="303">
        <f>+T52/T49</f>
        <v>0.30513347022587267</v>
      </c>
      <c r="V54" s="304">
        <f>+V52/V49</f>
        <v>0.3047106325706595</v>
      </c>
      <c r="W54" s="304"/>
      <c r="X54" s="304">
        <f>+X52/X49</f>
        <v>0.28653486508148546</v>
      </c>
      <c r="Z54" s="305">
        <f>+Z52/Z49</f>
        <v>0.2474429031806081</v>
      </c>
      <c r="AA54" s="151"/>
      <c r="AB54" s="303">
        <f>+AB52/AB49</f>
        <v>0.2252353519741464</v>
      </c>
      <c r="AD54" s="304">
        <f>+AD52/AD49</f>
        <v>0.23731448763250884</v>
      </c>
      <c r="AE54" s="304"/>
      <c r="AF54" s="304">
        <f>+AF52/AF49</f>
        <v>0.25246142542248345</v>
      </c>
      <c r="AH54" s="305">
        <f>+AH52/AH49</f>
        <v>0.1952008168822328</v>
      </c>
      <c r="AI54" s="151"/>
      <c r="AJ54" s="303">
        <f>+AJ52/AJ49</f>
        <v>0.19524298425735798</v>
      </c>
      <c r="AL54" s="304">
        <f>+AL52/AL49</f>
        <v>0.17017543859649123</v>
      </c>
      <c r="AM54" s="304"/>
      <c r="AN54" s="304">
        <f>+AN52/AN49</f>
        <v>0.18926553672316385</v>
      </c>
      <c r="AP54" s="305">
        <f>+AP52/AP49</f>
        <v>0.16951316839584996</v>
      </c>
      <c r="AQ54" s="151"/>
      <c r="AR54" s="303">
        <f>+AR52/AR49</f>
        <v>0.14839529710835717</v>
      </c>
      <c r="AT54" s="304">
        <f>+AT52/AT49</f>
        <v>0.12778505897771952</v>
      </c>
      <c r="AU54" s="304"/>
      <c r="AV54" s="334">
        <f>+AV52/AV49</f>
        <v>0.1001610305958132</v>
      </c>
      <c r="AX54" s="305">
        <f>+AX52/AX49</f>
        <v>0.01870062872803482</v>
      </c>
      <c r="AY54" s="151"/>
      <c r="AZ54" s="303">
        <f>+AZ52/AZ49</f>
        <v>0.14839529710835717</v>
      </c>
      <c r="BB54" s="304">
        <f>+BB52/BB49</f>
        <v>0.12778505897771952</v>
      </c>
      <c r="BC54" s="304"/>
      <c r="BD54" s="334">
        <f>+BD52/BD49</f>
        <v>0.1001610305958132</v>
      </c>
      <c r="BF54" s="305">
        <f>+BF52/BF49</f>
        <v>0.01870062872803482</v>
      </c>
      <c r="BH54" s="303">
        <f>+BH52/BH49</f>
        <v>0.07666345226615236</v>
      </c>
      <c r="BJ54" s="304">
        <f>+BJ52/BJ49</f>
        <v>0.03232484076433121</v>
      </c>
      <c r="BK54" s="304"/>
      <c r="BL54" s="304">
        <f>+BL52/BL49</f>
        <v>0.04941026458399745</v>
      </c>
      <c r="BN54" s="305">
        <f>+BN52/BN49</f>
        <v>0.06774141019377951</v>
      </c>
      <c r="BP54" s="303">
        <f>+BP52/BP49</f>
        <v>0.09858929143956396</v>
      </c>
      <c r="BR54" s="304" t="e">
        <f>+BR52/BR49</f>
        <v>#DIV/0!</v>
      </c>
      <c r="BS54" s="304"/>
      <c r="BT54" s="304" t="e">
        <f>+BT52/BT49</f>
        <v>#DIV/0!</v>
      </c>
      <c r="BV54" s="305" t="e">
        <f>+BV52/BV49</f>
        <v>#DIV/0!</v>
      </c>
    </row>
    <row r="55" spans="2:74" ht="12.75">
      <c r="B55" s="133"/>
      <c r="D55" s="103"/>
      <c r="I55" s="59"/>
      <c r="J55" s="95"/>
      <c r="L55" s="103"/>
      <c r="Q55" s="59"/>
      <c r="R55" s="95"/>
      <c r="T55" s="103"/>
      <c r="Y55" s="59"/>
      <c r="Z55" s="95"/>
      <c r="AB55" s="103"/>
      <c r="AG55" s="59"/>
      <c r="AH55" s="95"/>
      <c r="AJ55" s="103"/>
      <c r="AO55" s="59"/>
      <c r="AP55" s="95"/>
      <c r="AR55" s="103"/>
      <c r="AV55" s="164"/>
      <c r="AW55" s="59"/>
      <c r="AX55" s="95"/>
      <c r="AZ55" s="103"/>
      <c r="BD55" s="164"/>
      <c r="BE55" s="59"/>
      <c r="BF55" s="95"/>
      <c r="BH55" s="103"/>
      <c r="BL55" s="164"/>
      <c r="BM55" s="59"/>
      <c r="BN55" s="95"/>
      <c r="BP55" s="103"/>
      <c r="BT55" s="164"/>
      <c r="BU55" s="59"/>
      <c r="BV55" s="95"/>
    </row>
    <row r="56" spans="1:74" s="58" customFormat="1" ht="12.75">
      <c r="A56" s="95"/>
      <c r="B56" s="133" t="s">
        <v>131</v>
      </c>
      <c r="C56" s="100"/>
      <c r="D56" s="213">
        <f>34+15</f>
        <v>49</v>
      </c>
      <c r="E56" s="306">
        <f>+F56-D56</f>
        <v>56</v>
      </c>
      <c r="F56" s="212">
        <f>77+28</f>
        <v>105</v>
      </c>
      <c r="G56" s="306">
        <f>+H56-F56</f>
        <v>51</v>
      </c>
      <c r="H56" s="212">
        <f>112+44</f>
        <v>156</v>
      </c>
      <c r="I56" s="306">
        <f>+J56-H56</f>
        <v>107</v>
      </c>
      <c r="J56" s="242">
        <f>171+92</f>
        <v>263</v>
      </c>
      <c r="K56" s="100"/>
      <c r="L56" s="213">
        <f>53+20</f>
        <v>73</v>
      </c>
      <c r="M56" s="306">
        <f>+N56-L56</f>
        <v>69</v>
      </c>
      <c r="N56" s="212">
        <f>112+30</f>
        <v>142</v>
      </c>
      <c r="O56" s="306">
        <f>+P56-N56</f>
        <v>102</v>
      </c>
      <c r="P56" s="212">
        <f>198+46</f>
        <v>244</v>
      </c>
      <c r="Q56" s="306">
        <f>+R56-P56</f>
        <v>143</v>
      </c>
      <c r="R56" s="242">
        <f>320+67</f>
        <v>387</v>
      </c>
      <c r="S56" s="100"/>
      <c r="T56" s="213">
        <f>53+20</f>
        <v>73</v>
      </c>
      <c r="U56" s="306">
        <f>+V56-T56</f>
        <v>69</v>
      </c>
      <c r="V56" s="212">
        <f>112+30</f>
        <v>142</v>
      </c>
      <c r="W56" s="306">
        <f>+X56-V56</f>
        <v>102</v>
      </c>
      <c r="X56" s="212">
        <f>198+46</f>
        <v>244</v>
      </c>
      <c r="Y56" s="306">
        <f>+Z56-X56</f>
        <v>143</v>
      </c>
      <c r="Z56" s="242">
        <f>320+67</f>
        <v>387</v>
      </c>
      <c r="AA56" s="100"/>
      <c r="AB56" s="213">
        <f>57+41</f>
        <v>98</v>
      </c>
      <c r="AC56" s="306">
        <f>+AD56-AB56</f>
        <v>159</v>
      </c>
      <c r="AD56" s="212">
        <f>188+69</f>
        <v>257</v>
      </c>
      <c r="AE56" s="306">
        <f>+AF56-AD56</f>
        <v>130</v>
      </c>
      <c r="AF56" s="212">
        <f>281+106</f>
        <v>387</v>
      </c>
      <c r="AG56" s="306">
        <f>+AH56-AF56</f>
        <v>141</v>
      </c>
      <c r="AH56" s="242">
        <f>389+139</f>
        <v>528</v>
      </c>
      <c r="AI56" s="100"/>
      <c r="AJ56" s="213">
        <v>95</v>
      </c>
      <c r="AK56" s="306">
        <f>+AL56-AJ56</f>
        <v>92</v>
      </c>
      <c r="AL56" s="212">
        <f>146+41</f>
        <v>187</v>
      </c>
      <c r="AM56" s="306">
        <f>+AN56-AL56</f>
        <v>30</v>
      </c>
      <c r="AN56" s="212">
        <v>217</v>
      </c>
      <c r="AO56" s="306">
        <f>+AP56-AN56</f>
        <v>188</v>
      </c>
      <c r="AP56" s="242">
        <f>337+68</f>
        <v>405</v>
      </c>
      <c r="AQ56" s="100"/>
      <c r="AR56" s="213">
        <v>108</v>
      </c>
      <c r="AS56" s="306">
        <f>+AT56-AR56</f>
        <v>87</v>
      </c>
      <c r="AT56" s="212">
        <f>153+42</f>
        <v>195</v>
      </c>
      <c r="AU56" s="306">
        <f>+AV56-AT56</f>
        <v>33</v>
      </c>
      <c r="AV56" s="212">
        <v>228</v>
      </c>
      <c r="AW56" s="306">
        <f>+AX56-AV56</f>
        <v>229</v>
      </c>
      <c r="AX56" s="242">
        <v>457</v>
      </c>
      <c r="AY56" s="100"/>
      <c r="AZ56" s="213">
        <v>78</v>
      </c>
      <c r="BA56" s="306"/>
      <c r="BB56" s="212">
        <v>153</v>
      </c>
      <c r="BC56" s="306"/>
      <c r="BD56" s="212">
        <v>228</v>
      </c>
      <c r="BE56" s="306"/>
      <c r="BF56" s="242">
        <f>377+80</f>
        <v>457</v>
      </c>
      <c r="BH56" s="213">
        <v>88</v>
      </c>
      <c r="BI56" s="306"/>
      <c r="BJ56" s="212">
        <v>188</v>
      </c>
      <c r="BK56" s="306"/>
      <c r="BL56" s="212">
        <v>280</v>
      </c>
      <c r="BM56" s="306"/>
      <c r="BN56" s="242">
        <f>418+29</f>
        <v>447</v>
      </c>
      <c r="BP56" s="213">
        <f>20+33</f>
        <v>53</v>
      </c>
      <c r="BQ56" s="306"/>
      <c r="BR56" s="212"/>
      <c r="BS56" s="306"/>
      <c r="BT56" s="212"/>
      <c r="BU56" s="306"/>
      <c r="BV56" s="242"/>
    </row>
    <row r="57" spans="2:74" s="58" customFormat="1" ht="12.75">
      <c r="B57" s="136"/>
      <c r="D57" s="91"/>
      <c r="F57" s="212"/>
      <c r="J57" s="242"/>
      <c r="L57" s="91"/>
      <c r="N57" s="212"/>
      <c r="R57" s="242"/>
      <c r="T57" s="91"/>
      <c r="V57" s="212"/>
      <c r="Z57" s="242"/>
      <c r="AB57" s="91"/>
      <c r="AD57" s="212"/>
      <c r="AH57" s="242"/>
      <c r="AJ57" s="91"/>
      <c r="AL57" s="212"/>
      <c r="AP57" s="242"/>
      <c r="AR57" s="91"/>
      <c r="AT57" s="212"/>
      <c r="AV57" s="164"/>
      <c r="AX57" s="242"/>
      <c r="AZ57" s="91"/>
      <c r="BB57" s="212"/>
      <c r="BD57" s="164"/>
      <c r="BF57" s="242"/>
      <c r="BH57" s="91"/>
      <c r="BJ57" s="212"/>
      <c r="BL57" s="164"/>
      <c r="BN57" s="242"/>
      <c r="BP57" s="91"/>
      <c r="BR57" s="212"/>
      <c r="BT57" s="164"/>
      <c r="BV57" s="242"/>
    </row>
    <row r="58" spans="2:74" s="58" customFormat="1" ht="12.75">
      <c r="B58" s="287" t="s">
        <v>491</v>
      </c>
      <c r="D58" s="230">
        <v>3181</v>
      </c>
      <c r="E58" s="231"/>
      <c r="F58" s="231">
        <v>3193</v>
      </c>
      <c r="G58" s="232"/>
      <c r="H58" s="232">
        <v>3201</v>
      </c>
      <c r="I58" s="150"/>
      <c r="J58" s="244">
        <v>3183</v>
      </c>
      <c r="L58" s="230">
        <v>3161</v>
      </c>
      <c r="M58" s="231"/>
      <c r="N58" s="231">
        <v>3145</v>
      </c>
      <c r="O58" s="232"/>
      <c r="P58" s="232">
        <v>3146</v>
      </c>
      <c r="Q58" s="150"/>
      <c r="R58" s="244">
        <v>3101</v>
      </c>
      <c r="T58" s="230">
        <v>3161</v>
      </c>
      <c r="U58" s="231"/>
      <c r="V58" s="231">
        <v>3145</v>
      </c>
      <c r="W58" s="232"/>
      <c r="X58" s="232">
        <v>3146</v>
      </c>
      <c r="Y58" s="150"/>
      <c r="Z58" s="244">
        <v>3101</v>
      </c>
      <c r="AB58" s="230">
        <v>3103</v>
      </c>
      <c r="AC58" s="231"/>
      <c r="AD58" s="231">
        <v>3086</v>
      </c>
      <c r="AE58" s="232"/>
      <c r="AF58" s="232">
        <v>3071</v>
      </c>
      <c r="AG58" s="150"/>
      <c r="AH58" s="244">
        <v>3066</v>
      </c>
      <c r="AJ58" s="230">
        <v>2948</v>
      </c>
      <c r="AK58" s="231"/>
      <c r="AL58" s="231">
        <v>5047</v>
      </c>
      <c r="AM58" s="232"/>
      <c r="AN58" s="232">
        <v>4920</v>
      </c>
      <c r="AO58" s="150"/>
      <c r="AP58" s="244">
        <v>4949</v>
      </c>
      <c r="AR58" s="326" t="s">
        <v>507</v>
      </c>
      <c r="AS58" s="231"/>
      <c r="AT58" s="231">
        <v>5017</v>
      </c>
      <c r="AU58" s="232"/>
      <c r="AV58" s="330" t="s">
        <v>507</v>
      </c>
      <c r="AW58" s="150"/>
      <c r="AX58" s="244">
        <v>5144</v>
      </c>
      <c r="AZ58" s="326" t="s">
        <v>581</v>
      </c>
      <c r="BA58" s="231"/>
      <c r="BB58" s="231">
        <v>5017</v>
      </c>
      <c r="BC58" s="232"/>
      <c r="BD58" s="330" t="s">
        <v>507</v>
      </c>
      <c r="BE58" s="150"/>
      <c r="BF58" s="244">
        <v>5144</v>
      </c>
      <c r="BH58" s="326" t="s">
        <v>507</v>
      </c>
      <c r="BI58" s="231"/>
      <c r="BJ58" s="231">
        <v>5251</v>
      </c>
      <c r="BK58" s="232"/>
      <c r="BL58" s="330" t="s">
        <v>581</v>
      </c>
      <c r="BM58" s="150"/>
      <c r="BN58" s="244">
        <v>5372</v>
      </c>
      <c r="BP58" s="326" t="s">
        <v>581</v>
      </c>
      <c r="BQ58" s="231"/>
      <c r="BR58" s="231"/>
      <c r="BS58" s="232"/>
      <c r="BT58" s="330"/>
      <c r="BU58" s="150"/>
      <c r="BV58" s="244"/>
    </row>
    <row r="59" spans="48:56" s="58" customFormat="1" ht="12.75">
      <c r="AV59" s="164"/>
      <c r="BD59" s="164"/>
    </row>
    <row r="60" spans="48:56" s="49" customFormat="1" ht="12.75">
      <c r="AV60" s="164"/>
      <c r="BD60" s="164"/>
    </row>
    <row r="61" spans="2:74" s="51" customFormat="1" ht="17.25" customHeight="1">
      <c r="B61" s="129" t="s">
        <v>208</v>
      </c>
      <c r="D61" s="322" t="s">
        <v>220</v>
      </c>
      <c r="E61" s="323" t="s">
        <v>221</v>
      </c>
      <c r="F61" s="323" t="s">
        <v>222</v>
      </c>
      <c r="G61" s="323" t="s">
        <v>223</v>
      </c>
      <c r="H61" s="323" t="s">
        <v>224</v>
      </c>
      <c r="I61" s="323" t="s">
        <v>225</v>
      </c>
      <c r="J61" s="324" t="s">
        <v>226</v>
      </c>
      <c r="L61" s="322" t="s">
        <v>234</v>
      </c>
      <c r="M61" s="323" t="s">
        <v>235</v>
      </c>
      <c r="N61" s="323" t="s">
        <v>236</v>
      </c>
      <c r="O61" s="323" t="s">
        <v>237</v>
      </c>
      <c r="P61" s="323" t="s">
        <v>238</v>
      </c>
      <c r="Q61" s="323" t="s">
        <v>239</v>
      </c>
      <c r="R61" s="324" t="s">
        <v>240</v>
      </c>
      <c r="T61" s="322" t="str">
        <f aca="true" t="shared" si="47" ref="T61:Z61">+T4</f>
        <v>IQ 2014</v>
      </c>
      <c r="U61" s="323" t="str">
        <f t="shared" si="47"/>
        <v>IIQ 2014</v>
      </c>
      <c r="V61" s="323" t="str">
        <f t="shared" si="47"/>
        <v>IH 2014</v>
      </c>
      <c r="W61" s="323" t="str">
        <f t="shared" si="47"/>
        <v>III Q 2014</v>
      </c>
      <c r="X61" s="323" t="str">
        <f t="shared" si="47"/>
        <v>9M 2014</v>
      </c>
      <c r="Y61" s="323" t="str">
        <f t="shared" si="47"/>
        <v>IV Q 2014</v>
      </c>
      <c r="Z61" s="324" t="str">
        <f t="shared" si="47"/>
        <v>FY 2014</v>
      </c>
      <c r="AB61" s="322" t="str">
        <f aca="true" t="shared" si="48" ref="AB61:AH61">+AB4</f>
        <v>IQ 2015</v>
      </c>
      <c r="AC61" s="323" t="str">
        <f t="shared" si="48"/>
        <v>IIQ 2015</v>
      </c>
      <c r="AD61" s="323" t="str">
        <f t="shared" si="48"/>
        <v>IH 2015</v>
      </c>
      <c r="AE61" s="323" t="str">
        <f t="shared" si="48"/>
        <v>III Q 2015</v>
      </c>
      <c r="AF61" s="323" t="str">
        <f t="shared" si="48"/>
        <v>9M 2015</v>
      </c>
      <c r="AG61" s="323" t="str">
        <f t="shared" si="48"/>
        <v>IV Q 2015</v>
      </c>
      <c r="AH61" s="324" t="str">
        <f t="shared" si="48"/>
        <v>FY 2015</v>
      </c>
      <c r="AJ61" s="322" t="s">
        <v>279</v>
      </c>
      <c r="AK61" s="323" t="s">
        <v>280</v>
      </c>
      <c r="AL61" s="323" t="s">
        <v>281</v>
      </c>
      <c r="AM61" s="323" t="s">
        <v>282</v>
      </c>
      <c r="AN61" s="323" t="s">
        <v>283</v>
      </c>
      <c r="AO61" s="323" t="s">
        <v>284</v>
      </c>
      <c r="AP61" s="324" t="s">
        <v>355</v>
      </c>
      <c r="AR61" s="444" t="str">
        <f>+AR45</f>
        <v>IQ 2017</v>
      </c>
      <c r="AS61" s="445" t="str">
        <f aca="true" t="shared" si="49" ref="AS61:AX61">+AS45</f>
        <v>IIQ 2017</v>
      </c>
      <c r="AT61" s="445" t="str">
        <f t="shared" si="49"/>
        <v>IH 2017</v>
      </c>
      <c r="AU61" s="445" t="str">
        <f t="shared" si="49"/>
        <v>III Q 2017</v>
      </c>
      <c r="AV61" s="445" t="str">
        <f t="shared" si="49"/>
        <v>9M 2017</v>
      </c>
      <c r="AW61" s="445" t="str">
        <f t="shared" si="49"/>
        <v>IV Q 2017</v>
      </c>
      <c r="AX61" s="446" t="str">
        <f t="shared" si="49"/>
        <v>FY 2017</v>
      </c>
      <c r="AZ61" s="444" t="s">
        <v>506</v>
      </c>
      <c r="BA61" s="445" t="s">
        <v>508</v>
      </c>
      <c r="BB61" s="445" t="s">
        <v>561</v>
      </c>
      <c r="BC61" s="445" t="s">
        <v>509</v>
      </c>
      <c r="BD61" s="445" t="s">
        <v>510</v>
      </c>
      <c r="BE61" s="445" t="s">
        <v>511</v>
      </c>
      <c r="BF61" s="446" t="s">
        <v>533</v>
      </c>
      <c r="BH61" s="444" t="str">
        <f>+BH4</f>
        <v>IQ 2018 (7)</v>
      </c>
      <c r="BI61" s="445" t="str">
        <f aca="true" t="shared" si="50" ref="BI61:BN61">+BI45</f>
        <v>IIQ 2018 </v>
      </c>
      <c r="BJ61" s="445" t="str">
        <f t="shared" si="50"/>
        <v>IH 2018</v>
      </c>
      <c r="BK61" s="445" t="str">
        <f t="shared" si="50"/>
        <v>III Q 2018</v>
      </c>
      <c r="BL61" s="445" t="str">
        <f t="shared" si="50"/>
        <v>9M 2018</v>
      </c>
      <c r="BM61" s="445" t="str">
        <f t="shared" si="50"/>
        <v>IV Q 2018</v>
      </c>
      <c r="BN61" s="446" t="str">
        <f t="shared" si="50"/>
        <v>FY 2018</v>
      </c>
      <c r="BP61" s="444" t="str">
        <f>+BP4</f>
        <v>IQ 2019</v>
      </c>
      <c r="BQ61" s="445" t="str">
        <f aca="true" t="shared" si="51" ref="BQ61:BV61">+BQ45</f>
        <v>IIQ 2019 </v>
      </c>
      <c r="BR61" s="445" t="str">
        <f t="shared" si="51"/>
        <v>IH 2019</v>
      </c>
      <c r="BS61" s="445" t="str">
        <f t="shared" si="51"/>
        <v>III Q 2019</v>
      </c>
      <c r="BT61" s="445" t="str">
        <f t="shared" si="51"/>
        <v>9M 2019</v>
      </c>
      <c r="BU61" s="445" t="str">
        <f t="shared" si="51"/>
        <v>IV Q 2019</v>
      </c>
      <c r="BV61" s="446" t="str">
        <f t="shared" si="51"/>
        <v>FY 2019</v>
      </c>
    </row>
    <row r="62" spans="1:74" ht="12.75">
      <c r="A62" s="51"/>
      <c r="B62" s="154"/>
      <c r="D62" s="103"/>
      <c r="I62" s="57"/>
      <c r="J62" s="95"/>
      <c r="L62" s="103"/>
      <c r="R62" s="95"/>
      <c r="T62" s="103"/>
      <c r="Z62" s="95"/>
      <c r="AB62" s="103"/>
      <c r="AH62" s="95"/>
      <c r="AJ62" s="103"/>
      <c r="AP62" s="95"/>
      <c r="AR62" s="103"/>
      <c r="AV62" s="164"/>
      <c r="AX62" s="95"/>
      <c r="AZ62" s="103"/>
      <c r="BD62" s="164"/>
      <c r="BF62" s="95"/>
      <c r="BH62" s="103"/>
      <c r="BL62" s="164"/>
      <c r="BN62" s="95"/>
      <c r="BP62" s="103"/>
      <c r="BT62" s="164"/>
      <c r="BV62" s="95"/>
    </row>
    <row r="63" spans="1:74" ht="12.75">
      <c r="A63" s="53"/>
      <c r="B63" s="132" t="s">
        <v>154</v>
      </c>
      <c r="D63" s="145">
        <f>D6</f>
        <v>1756</v>
      </c>
      <c r="E63" s="55">
        <f>+F63-D63</f>
        <v>1787</v>
      </c>
      <c r="F63" s="63">
        <f>F6</f>
        <v>3543</v>
      </c>
      <c r="G63" s="55">
        <f>+H63-F63</f>
        <v>1737</v>
      </c>
      <c r="H63" s="63">
        <f>H6</f>
        <v>5280</v>
      </c>
      <c r="I63" s="55">
        <f>+J63-H63</f>
        <v>1882</v>
      </c>
      <c r="J63" s="83">
        <f>J6</f>
        <v>7162</v>
      </c>
      <c r="L63" s="145">
        <f>L6</f>
        <v>2245</v>
      </c>
      <c r="M63" s="55">
        <f>+N63-L63</f>
        <v>1766</v>
      </c>
      <c r="N63" s="63">
        <f>N6</f>
        <v>4011</v>
      </c>
      <c r="O63" s="55">
        <f>+P63-N63</f>
        <v>1889</v>
      </c>
      <c r="P63" s="63">
        <f>P6</f>
        <v>5900</v>
      </c>
      <c r="Q63" s="55">
        <f>+R63-P63</f>
        <v>1959</v>
      </c>
      <c r="R63" s="83">
        <f>R6</f>
        <v>7859</v>
      </c>
      <c r="T63" s="260">
        <f>T6</f>
        <v>2115</v>
      </c>
      <c r="U63" s="251">
        <f>+V63-T63</f>
        <v>1754</v>
      </c>
      <c r="V63" s="251">
        <f>V6</f>
        <v>3869</v>
      </c>
      <c r="W63" s="251">
        <f>+X63-V63</f>
        <v>1912</v>
      </c>
      <c r="X63" s="251">
        <f>X6</f>
        <v>5781</v>
      </c>
      <c r="Y63" s="251">
        <f>+Z63-X63</f>
        <v>2078</v>
      </c>
      <c r="Z63" s="247">
        <f>Z6</f>
        <v>7859</v>
      </c>
      <c r="AB63" s="260">
        <f>AB6</f>
        <v>1703</v>
      </c>
      <c r="AC63" s="251">
        <f>+AD63-AB63</f>
        <v>1581</v>
      </c>
      <c r="AD63" s="251">
        <f>AD6</f>
        <v>3284</v>
      </c>
      <c r="AE63" s="251">
        <f>+AF63-AD63</f>
        <v>1713</v>
      </c>
      <c r="AF63" s="251">
        <f>AF6</f>
        <v>4997</v>
      </c>
      <c r="AG63" s="251">
        <f>+AH63-AF63</f>
        <v>1532</v>
      </c>
      <c r="AH63" s="247">
        <f>AH6</f>
        <v>6529</v>
      </c>
      <c r="AJ63" s="260">
        <f>AJ6</f>
        <v>1361</v>
      </c>
      <c r="AK63" s="251">
        <f>+AL63-AJ63</f>
        <v>1289</v>
      </c>
      <c r="AL63" s="251">
        <f>+AL6</f>
        <v>2650</v>
      </c>
      <c r="AM63" s="251">
        <f>AN63-AL63</f>
        <v>1413</v>
      </c>
      <c r="AN63" s="251">
        <f>+AN6</f>
        <v>4063</v>
      </c>
      <c r="AO63" s="251">
        <f>+AP63-AN63</f>
        <v>1619</v>
      </c>
      <c r="AP63" s="247">
        <f>+AP6</f>
        <v>5682</v>
      </c>
      <c r="AR63" s="260">
        <f>+AR6</f>
        <v>1387</v>
      </c>
      <c r="AS63" s="251">
        <f>+AT63-AR63</f>
        <v>1157</v>
      </c>
      <c r="AT63" s="251">
        <f>+AT6</f>
        <v>2544</v>
      </c>
      <c r="AU63" s="251">
        <f>AV63-AT63</f>
        <v>1317</v>
      </c>
      <c r="AV63" s="251">
        <f>+AV6</f>
        <v>3861</v>
      </c>
      <c r="AW63" s="251">
        <f>+AX63-AV63</f>
        <v>1266</v>
      </c>
      <c r="AX63" s="247">
        <f>+AX6</f>
        <v>5127</v>
      </c>
      <c r="AZ63" s="260">
        <f>+AZ6</f>
        <v>1295</v>
      </c>
      <c r="BA63" s="251">
        <f>+BB63-AZ63</f>
        <v>658</v>
      </c>
      <c r="BB63" s="251">
        <f>+BB6</f>
        <v>1953</v>
      </c>
      <c r="BC63" s="251">
        <f>+BD63-BB63</f>
        <v>1046</v>
      </c>
      <c r="BD63" s="251">
        <f>+BD6</f>
        <v>2999</v>
      </c>
      <c r="BE63" s="251">
        <f>+BF63-BD63</f>
        <v>971</v>
      </c>
      <c r="BF63" s="247">
        <f>+BF6</f>
        <v>3970</v>
      </c>
      <c r="BH63" s="260">
        <f>+BH6</f>
        <v>949</v>
      </c>
      <c r="BI63" s="251">
        <f>+BJ63-BH63</f>
        <v>874</v>
      </c>
      <c r="BJ63" s="251">
        <f>+BJ6</f>
        <v>1823</v>
      </c>
      <c r="BK63" s="251">
        <f>+BL63-BJ63</f>
        <v>919</v>
      </c>
      <c r="BL63" s="251">
        <f>+BL6</f>
        <v>2742</v>
      </c>
      <c r="BM63" s="251">
        <f>+BN63-BL63</f>
        <v>1026</v>
      </c>
      <c r="BN63" s="455">
        <f>+BN6</f>
        <v>3768</v>
      </c>
      <c r="BP63" s="260">
        <f>+BP6</f>
        <v>1068</v>
      </c>
      <c r="BQ63" s="251">
        <f>+BR63-BP63</f>
        <v>-1068</v>
      </c>
      <c r="BR63" s="251">
        <f>+BR6</f>
        <v>0</v>
      </c>
      <c r="BS63" s="251">
        <f>+BT63-BR63</f>
        <v>0</v>
      </c>
      <c r="BT63" s="251">
        <f>+BT6</f>
        <v>0</v>
      </c>
      <c r="BU63" s="251">
        <f>+BV63-BT63</f>
        <v>0</v>
      </c>
      <c r="BV63" s="455">
        <f>+BV6</f>
        <v>0</v>
      </c>
    </row>
    <row r="64" spans="1:74" ht="12.75">
      <c r="A64" s="53"/>
      <c r="B64" s="132"/>
      <c r="D64" s="145"/>
      <c r="E64" s="55"/>
      <c r="F64" s="63"/>
      <c r="G64" s="55"/>
      <c r="H64" s="63"/>
      <c r="I64" s="55"/>
      <c r="J64" s="83"/>
      <c r="L64" s="145"/>
      <c r="M64" s="55"/>
      <c r="N64" s="63"/>
      <c r="O64" s="55"/>
      <c r="P64" s="63"/>
      <c r="Q64" s="55"/>
      <c r="R64" s="83"/>
      <c r="T64" s="260"/>
      <c r="U64" s="251"/>
      <c r="V64" s="251"/>
      <c r="W64" s="251"/>
      <c r="X64" s="251"/>
      <c r="Y64" s="251"/>
      <c r="Z64" s="247"/>
      <c r="AB64" s="260"/>
      <c r="AC64" s="251"/>
      <c r="AD64" s="251"/>
      <c r="AE64" s="251"/>
      <c r="AF64" s="251"/>
      <c r="AG64" s="251"/>
      <c r="AH64" s="247"/>
      <c r="AJ64" s="260"/>
      <c r="AK64" s="251"/>
      <c r="AL64" s="251"/>
      <c r="AM64" s="251"/>
      <c r="AN64" s="251"/>
      <c r="AO64" s="251"/>
      <c r="AP64" s="247"/>
      <c r="AR64" s="260"/>
      <c r="AS64" s="251"/>
      <c r="AT64" s="251"/>
      <c r="AU64" s="251"/>
      <c r="AV64" s="251"/>
      <c r="AW64" s="251"/>
      <c r="AX64" s="247"/>
      <c r="AZ64" s="260"/>
      <c r="BA64" s="251"/>
      <c r="BB64" s="251"/>
      <c r="BC64" s="251"/>
      <c r="BD64" s="251"/>
      <c r="BE64" s="251"/>
      <c r="BF64" s="247"/>
      <c r="BH64" s="260"/>
      <c r="BI64" s="251"/>
      <c r="BJ64" s="251"/>
      <c r="BK64" s="251"/>
      <c r="BL64" s="251"/>
      <c r="BM64" s="251"/>
      <c r="BN64" s="455"/>
      <c r="BP64" s="260"/>
      <c r="BQ64" s="251"/>
      <c r="BR64" s="251"/>
      <c r="BS64" s="251"/>
      <c r="BT64" s="251"/>
      <c r="BU64" s="251"/>
      <c r="BV64" s="455"/>
    </row>
    <row r="65" spans="1:74" ht="12.75">
      <c r="A65" s="61"/>
      <c r="B65" s="293" t="s">
        <v>357</v>
      </c>
      <c r="D65" s="288">
        <f>D17</f>
        <v>149</v>
      </c>
      <c r="E65" s="251">
        <f>+F65-D65</f>
        <v>204</v>
      </c>
      <c r="F65" s="289">
        <f>F17</f>
        <v>353</v>
      </c>
      <c r="G65" s="251">
        <f>+H65-F65</f>
        <v>159</v>
      </c>
      <c r="H65" s="289">
        <f>H17</f>
        <v>512</v>
      </c>
      <c r="I65" s="251">
        <f>+J65-H65</f>
        <v>154</v>
      </c>
      <c r="J65" s="290">
        <f>J17</f>
        <v>666</v>
      </c>
      <c r="L65" s="288">
        <f>L17</f>
        <v>188</v>
      </c>
      <c r="M65" s="251">
        <f>+N65-L65</f>
        <v>176</v>
      </c>
      <c r="N65" s="289">
        <f>N17</f>
        <v>364</v>
      </c>
      <c r="O65" s="251">
        <f>+P65-N65</f>
        <v>146</v>
      </c>
      <c r="P65" s="289">
        <f>P17</f>
        <v>510</v>
      </c>
      <c r="Q65" s="251">
        <f>+R65-P65</f>
        <v>180</v>
      </c>
      <c r="R65" s="290">
        <f>R17</f>
        <v>690</v>
      </c>
      <c r="T65" s="291">
        <f aca="true" t="shared" si="52" ref="T65:Z65">+T17</f>
        <v>188</v>
      </c>
      <c r="U65" s="263">
        <f t="shared" si="52"/>
        <v>176</v>
      </c>
      <c r="V65" s="263">
        <f t="shared" si="52"/>
        <v>364</v>
      </c>
      <c r="W65" s="263">
        <f t="shared" si="52"/>
        <v>146</v>
      </c>
      <c r="X65" s="263">
        <f t="shared" si="52"/>
        <v>510</v>
      </c>
      <c r="Y65" s="263">
        <f t="shared" si="52"/>
        <v>180</v>
      </c>
      <c r="Z65" s="292">
        <f t="shared" si="52"/>
        <v>690</v>
      </c>
      <c r="AB65" s="291">
        <f aca="true" t="shared" si="53" ref="AB65:AH65">+AB17</f>
        <v>109</v>
      </c>
      <c r="AC65" s="263">
        <f t="shared" si="53"/>
        <v>99</v>
      </c>
      <c r="AD65" s="263">
        <f t="shared" si="53"/>
        <v>208</v>
      </c>
      <c r="AE65" s="263">
        <f t="shared" si="53"/>
        <v>79</v>
      </c>
      <c r="AF65" s="263">
        <f t="shared" si="53"/>
        <v>287</v>
      </c>
      <c r="AG65" s="263">
        <f t="shared" si="53"/>
        <v>-11</v>
      </c>
      <c r="AH65" s="292">
        <f t="shared" si="53"/>
        <v>276</v>
      </c>
      <c r="AJ65" s="291">
        <f>AJ17</f>
        <v>43</v>
      </c>
      <c r="AK65" s="263">
        <f>+AL65-AJ65</f>
        <v>79</v>
      </c>
      <c r="AL65" s="263">
        <f>+AL17</f>
        <v>122</v>
      </c>
      <c r="AM65" s="263">
        <f>AN65-AL65</f>
        <v>60</v>
      </c>
      <c r="AN65" s="263">
        <f>+AN17</f>
        <v>182</v>
      </c>
      <c r="AO65" s="263">
        <f>+AP65-AN65</f>
        <v>60</v>
      </c>
      <c r="AP65" s="292">
        <f>+AP17</f>
        <v>242</v>
      </c>
      <c r="AR65" s="291">
        <f>+AR17</f>
        <v>68</v>
      </c>
      <c r="AS65" s="263">
        <f>+AT65-AR65</f>
        <v>63</v>
      </c>
      <c r="AT65" s="263">
        <f>+AT17</f>
        <v>131</v>
      </c>
      <c r="AU65" s="263">
        <f>AV65-AT65</f>
        <v>101</v>
      </c>
      <c r="AV65" s="263">
        <f>+AV17</f>
        <v>232</v>
      </c>
      <c r="AW65" s="263">
        <f>+AX65-AV65</f>
        <v>33</v>
      </c>
      <c r="AX65" s="292">
        <f>+AX17</f>
        <v>265</v>
      </c>
      <c r="AZ65" s="291">
        <f>+AZ17</f>
        <v>68</v>
      </c>
      <c r="BA65" s="263">
        <f>+BB65-AZ65</f>
        <v>63</v>
      </c>
      <c r="BB65" s="263">
        <f>+BB17</f>
        <v>131</v>
      </c>
      <c r="BC65" s="263">
        <f>+BD65-BB65</f>
        <v>101</v>
      </c>
      <c r="BD65" s="263">
        <f>+BD17</f>
        <v>232</v>
      </c>
      <c r="BE65" s="263">
        <v>0</v>
      </c>
      <c r="BF65" s="292">
        <f>+BF17</f>
        <v>265</v>
      </c>
      <c r="BH65" s="886"/>
      <c r="BI65" s="887"/>
      <c r="BJ65" s="888"/>
      <c r="BK65" s="887"/>
      <c r="BL65" s="888"/>
      <c r="BM65" s="887"/>
      <c r="BN65" s="889"/>
      <c r="BP65" s="891"/>
      <c r="BQ65" s="887"/>
      <c r="BR65" s="892"/>
      <c r="BS65" s="887"/>
      <c r="BT65" s="892"/>
      <c r="BU65" s="887"/>
      <c r="BV65" s="893"/>
    </row>
    <row r="66" spans="1:74" ht="12.75">
      <c r="A66" s="61"/>
      <c r="B66" s="257" t="s">
        <v>492</v>
      </c>
      <c r="D66" s="226">
        <v>144</v>
      </c>
      <c r="E66" s="55">
        <f>+F66-D66</f>
        <v>198</v>
      </c>
      <c r="F66" s="227">
        <v>342</v>
      </c>
      <c r="G66" s="55">
        <f>+H66-F66</f>
        <v>155</v>
      </c>
      <c r="H66" s="227">
        <v>497</v>
      </c>
      <c r="I66" s="55">
        <f>+J66-H66</f>
        <v>159</v>
      </c>
      <c r="J66" s="243">
        <v>656</v>
      </c>
      <c r="L66" s="226">
        <v>185</v>
      </c>
      <c r="M66" s="55">
        <f>+N66-L66</f>
        <v>171</v>
      </c>
      <c r="N66" s="227">
        <v>356</v>
      </c>
      <c r="O66" s="55">
        <f>+P66-N66</f>
        <v>136</v>
      </c>
      <c r="P66" s="227">
        <v>492</v>
      </c>
      <c r="Q66" s="55">
        <f>+R66-P66</f>
        <v>160</v>
      </c>
      <c r="R66" s="243">
        <v>652</v>
      </c>
      <c r="T66" s="226">
        <v>185</v>
      </c>
      <c r="U66" s="55">
        <f>+V66-T66</f>
        <v>171</v>
      </c>
      <c r="V66" s="227">
        <v>356</v>
      </c>
      <c r="W66" s="55">
        <f>+X66-V66</f>
        <v>136</v>
      </c>
      <c r="X66" s="227">
        <v>492</v>
      </c>
      <c r="Y66" s="55">
        <f>+Z66-X66</f>
        <v>160</v>
      </c>
      <c r="Z66" s="243">
        <v>652</v>
      </c>
      <c r="AB66" s="226">
        <v>95</v>
      </c>
      <c r="AC66" s="55">
        <f>+AD66-AB66</f>
        <v>108</v>
      </c>
      <c r="AD66" s="227">
        <v>203</v>
      </c>
      <c r="AE66" s="55">
        <f>+AF66-AD66</f>
        <v>122</v>
      </c>
      <c r="AF66" s="227">
        <v>325</v>
      </c>
      <c r="AG66" s="55">
        <f>+AH66-AF66</f>
        <v>35</v>
      </c>
      <c r="AH66" s="243">
        <v>360</v>
      </c>
      <c r="AJ66" s="226">
        <v>71</v>
      </c>
      <c r="AK66" s="263">
        <f>+AL66-AJ66</f>
        <v>118</v>
      </c>
      <c r="AL66" s="227">
        <v>189</v>
      </c>
      <c r="AM66" s="263">
        <f>AN66-AL66</f>
        <v>100</v>
      </c>
      <c r="AN66" s="227">
        <v>289</v>
      </c>
      <c r="AO66" s="263">
        <f>+AP66-AN66</f>
        <v>97</v>
      </c>
      <c r="AP66" s="243">
        <v>386</v>
      </c>
      <c r="AR66" s="226">
        <v>74</v>
      </c>
      <c r="AS66" s="263">
        <f>+AT66-AR66</f>
        <v>68</v>
      </c>
      <c r="AT66" s="227">
        <v>142</v>
      </c>
      <c r="AU66" s="263">
        <f>AV66-AT66</f>
        <v>108</v>
      </c>
      <c r="AV66" s="227">
        <v>250</v>
      </c>
      <c r="AW66" s="263">
        <f>+AX66-AV66</f>
        <v>39</v>
      </c>
      <c r="AX66" s="243">
        <v>289</v>
      </c>
      <c r="AZ66" s="226">
        <v>74</v>
      </c>
      <c r="BA66" s="263">
        <f>+BB66-AZ66</f>
        <v>68</v>
      </c>
      <c r="BB66" s="227">
        <v>142</v>
      </c>
      <c r="BC66" s="263">
        <f>+BD66-BB66</f>
        <v>108</v>
      </c>
      <c r="BD66" s="227">
        <v>250</v>
      </c>
      <c r="BE66" s="263">
        <v>0</v>
      </c>
      <c r="BF66" s="243">
        <v>289</v>
      </c>
      <c r="BH66" s="291">
        <f>+BH17</f>
        <v>93</v>
      </c>
      <c r="BI66" s="251">
        <f>+BJ66-BH66</f>
        <v>89</v>
      </c>
      <c r="BJ66" s="263">
        <f>+BJ17</f>
        <v>182</v>
      </c>
      <c r="BK66" s="251">
        <f>+BL66-BJ66</f>
        <v>71</v>
      </c>
      <c r="BL66" s="263">
        <f>+BL17</f>
        <v>253</v>
      </c>
      <c r="BM66" s="251">
        <f>+BN66-BL66</f>
        <v>75</v>
      </c>
      <c r="BN66" s="292">
        <f>+BN17</f>
        <v>328</v>
      </c>
      <c r="BP66" s="291">
        <f>+BP17</f>
        <v>118</v>
      </c>
      <c r="BQ66" s="251">
        <f>+BR66-BP66</f>
        <v>-118</v>
      </c>
      <c r="BR66" s="227"/>
      <c r="BS66" s="251">
        <f>+BT66-BR66</f>
        <v>0</v>
      </c>
      <c r="BT66" s="227"/>
      <c r="BU66" s="251">
        <f>+BV66-BT66</f>
        <v>0</v>
      </c>
      <c r="BV66" s="243"/>
    </row>
    <row r="67" spans="1:74" ht="12.75">
      <c r="A67" s="61"/>
      <c r="B67" s="257"/>
      <c r="D67" s="226"/>
      <c r="E67" s="55"/>
      <c r="F67" s="227"/>
      <c r="G67" s="55"/>
      <c r="H67" s="227"/>
      <c r="I67" s="55"/>
      <c r="J67" s="243"/>
      <c r="L67" s="226"/>
      <c r="M67" s="55"/>
      <c r="N67" s="227"/>
      <c r="O67" s="55"/>
      <c r="P67" s="227"/>
      <c r="Q67" s="55"/>
      <c r="R67" s="243"/>
      <c r="T67" s="226"/>
      <c r="U67" s="55"/>
      <c r="V67" s="227"/>
      <c r="W67" s="55"/>
      <c r="X67" s="227"/>
      <c r="Y67" s="55"/>
      <c r="Z67" s="243"/>
      <c r="AB67" s="226"/>
      <c r="AC67" s="55"/>
      <c r="AD67" s="227"/>
      <c r="AE67" s="55"/>
      <c r="AF67" s="227"/>
      <c r="AG67" s="55"/>
      <c r="AH67" s="243"/>
      <c r="AJ67" s="226"/>
      <c r="AK67" s="263"/>
      <c r="AL67" s="227"/>
      <c r="AM67" s="263"/>
      <c r="AN67" s="227"/>
      <c r="AO67" s="263"/>
      <c r="AP67" s="243"/>
      <c r="AR67" s="226"/>
      <c r="AS67" s="263"/>
      <c r="AT67" s="227"/>
      <c r="AU67" s="263"/>
      <c r="AV67" s="227"/>
      <c r="AW67" s="263"/>
      <c r="AX67" s="243"/>
      <c r="AZ67" s="226"/>
      <c r="BA67" s="263"/>
      <c r="BB67" s="227"/>
      <c r="BC67" s="263"/>
      <c r="BD67" s="227"/>
      <c r="BE67" s="263"/>
      <c r="BF67" s="243"/>
      <c r="BH67" s="226"/>
      <c r="BI67" s="263"/>
      <c r="BJ67" s="227"/>
      <c r="BK67" s="263"/>
      <c r="BL67" s="227"/>
      <c r="BM67" s="263"/>
      <c r="BN67" s="243"/>
      <c r="BP67" s="226"/>
      <c r="BQ67" s="263"/>
      <c r="BR67" s="227"/>
      <c r="BS67" s="263"/>
      <c r="BT67" s="227"/>
      <c r="BU67" s="263"/>
      <c r="BV67" s="243"/>
    </row>
    <row r="68" spans="1:74" s="58" customFormat="1" ht="12.75">
      <c r="A68" s="57"/>
      <c r="B68" s="133" t="s">
        <v>275</v>
      </c>
      <c r="D68" s="218">
        <v>-13</v>
      </c>
      <c r="E68" s="160">
        <f>+F68-D68</f>
        <v>-1</v>
      </c>
      <c r="F68" s="170">
        <v>-14</v>
      </c>
      <c r="G68" s="160">
        <f>+H68-F68</f>
        <v>11</v>
      </c>
      <c r="H68" s="170">
        <v>-3</v>
      </c>
      <c r="I68" s="160">
        <f>+J68-H68</f>
        <v>25</v>
      </c>
      <c r="J68" s="245">
        <v>22</v>
      </c>
      <c r="L68" s="218">
        <v>-2</v>
      </c>
      <c r="M68" s="160">
        <f>+N68-L68</f>
        <v>3</v>
      </c>
      <c r="N68" s="170">
        <v>1</v>
      </c>
      <c r="O68" s="160">
        <f>+P68-N68</f>
        <v>2</v>
      </c>
      <c r="P68" s="170">
        <v>3</v>
      </c>
      <c r="Q68" s="160">
        <f>+R68-P68</f>
        <v>3</v>
      </c>
      <c r="R68" s="245">
        <v>6</v>
      </c>
      <c r="T68" s="218">
        <v>-2</v>
      </c>
      <c r="U68" s="160">
        <f>+V68-T68</f>
        <v>3</v>
      </c>
      <c r="V68" s="170">
        <v>1</v>
      </c>
      <c r="W68" s="160">
        <f>+X68-V68</f>
        <v>2</v>
      </c>
      <c r="X68" s="170">
        <v>3</v>
      </c>
      <c r="Y68" s="160">
        <f>+Z68-X68</f>
        <v>3</v>
      </c>
      <c r="Z68" s="245">
        <v>6</v>
      </c>
      <c r="AB68" s="218">
        <v>4</v>
      </c>
      <c r="AC68" s="160">
        <f>+AD68-AB68</f>
        <v>2</v>
      </c>
      <c r="AD68" s="170">
        <v>6</v>
      </c>
      <c r="AE68" s="160">
        <f>+AF68-AD68</f>
        <v>1</v>
      </c>
      <c r="AF68" s="170">
        <v>7</v>
      </c>
      <c r="AG68" s="160">
        <f>+AH68-AF68</f>
        <v>-23</v>
      </c>
      <c r="AH68" s="245">
        <v>-16</v>
      </c>
      <c r="AJ68" s="218">
        <v>-2</v>
      </c>
      <c r="AK68" s="160">
        <f>+AL68-AJ68</f>
        <v>2</v>
      </c>
      <c r="AL68" s="170">
        <v>0</v>
      </c>
      <c r="AM68" s="160">
        <f>AN68-AL68</f>
        <v>5</v>
      </c>
      <c r="AN68" s="170">
        <v>5</v>
      </c>
      <c r="AO68" s="160">
        <f>+AP68-AN68</f>
        <v>6</v>
      </c>
      <c r="AP68" s="245">
        <v>11</v>
      </c>
      <c r="AR68" s="311" t="s">
        <v>507</v>
      </c>
      <c r="AS68" s="112" t="s">
        <v>507</v>
      </c>
      <c r="AT68" s="170">
        <v>5</v>
      </c>
      <c r="AU68" s="112" t="s">
        <v>507</v>
      </c>
      <c r="AV68" s="171" t="s">
        <v>507</v>
      </c>
      <c r="AW68" s="112" t="s">
        <v>507</v>
      </c>
      <c r="AX68" s="245">
        <v>4</v>
      </c>
      <c r="AZ68" s="311" t="s">
        <v>507</v>
      </c>
      <c r="BA68" s="112" t="s">
        <v>507</v>
      </c>
      <c r="BB68" s="170">
        <v>5</v>
      </c>
      <c r="BC68" s="112" t="s">
        <v>507</v>
      </c>
      <c r="BD68" s="171" t="s">
        <v>507</v>
      </c>
      <c r="BE68" s="112" t="s">
        <v>507</v>
      </c>
      <c r="BF68" s="501">
        <v>4</v>
      </c>
      <c r="BH68" s="311" t="s">
        <v>507</v>
      </c>
      <c r="BI68" s="112" t="s">
        <v>507</v>
      </c>
      <c r="BJ68" s="170">
        <v>0</v>
      </c>
      <c r="BK68" s="171" t="s">
        <v>507</v>
      </c>
      <c r="BL68" s="112" t="s">
        <v>507</v>
      </c>
      <c r="BM68" s="171" t="s">
        <v>507</v>
      </c>
      <c r="BN68" s="495">
        <v>1</v>
      </c>
      <c r="BP68" s="311" t="s">
        <v>507</v>
      </c>
      <c r="BQ68" s="112" t="s">
        <v>507</v>
      </c>
      <c r="BR68" s="170"/>
      <c r="BS68" s="171"/>
      <c r="BT68" s="112" t="s">
        <v>507</v>
      </c>
      <c r="BU68" s="171"/>
      <c r="BV68" s="495"/>
    </row>
    <row r="69" spans="1:74" s="58" customFormat="1" ht="12.75">
      <c r="A69" s="57"/>
      <c r="B69" s="168" t="s">
        <v>364</v>
      </c>
      <c r="D69" s="218">
        <v>-58</v>
      </c>
      <c r="E69" s="160">
        <f>+F69-D69</f>
        <v>-64</v>
      </c>
      <c r="F69" s="170">
        <v>-122</v>
      </c>
      <c r="G69" s="160">
        <f>+H69-F69</f>
        <v>-61</v>
      </c>
      <c r="H69" s="170">
        <v>-183</v>
      </c>
      <c r="I69" s="160">
        <f>+J69-H69</f>
        <v>-62</v>
      </c>
      <c r="J69" s="245">
        <v>-245</v>
      </c>
      <c r="L69" s="218">
        <v>-59</v>
      </c>
      <c r="M69" s="160">
        <f>+N69-L69</f>
        <v>-58</v>
      </c>
      <c r="N69" s="170">
        <v>-117</v>
      </c>
      <c r="O69" s="160">
        <f>+P69-N69</f>
        <v>-58</v>
      </c>
      <c r="P69" s="170">
        <v>-175</v>
      </c>
      <c r="Q69" s="160">
        <f>+R69-P69</f>
        <v>-56</v>
      </c>
      <c r="R69" s="245">
        <v>-231</v>
      </c>
      <c r="T69" s="218">
        <v>-59</v>
      </c>
      <c r="U69" s="160">
        <f>+V69-T69</f>
        <v>-58</v>
      </c>
      <c r="V69" s="170">
        <v>-117</v>
      </c>
      <c r="W69" s="160">
        <f>+X69-V69</f>
        <v>-58</v>
      </c>
      <c r="X69" s="170">
        <v>-175</v>
      </c>
      <c r="Y69" s="160">
        <f>+Z69-X69</f>
        <v>-56</v>
      </c>
      <c r="Z69" s="245">
        <v>-231</v>
      </c>
      <c r="AB69" s="218">
        <v>-58</v>
      </c>
      <c r="AC69" s="160">
        <f>+AD69-AB69</f>
        <v>-57</v>
      </c>
      <c r="AD69" s="170">
        <v>-115</v>
      </c>
      <c r="AE69" s="160">
        <f>+AF69-AD69</f>
        <v>-59</v>
      </c>
      <c r="AF69" s="170">
        <v>-174</v>
      </c>
      <c r="AG69" s="160">
        <f>+AH69-AF69</f>
        <v>-78</v>
      </c>
      <c r="AH69" s="245">
        <v>-252</v>
      </c>
      <c r="AJ69" s="218">
        <v>-43</v>
      </c>
      <c r="AK69" s="160">
        <f>+AL69-AJ69</f>
        <v>-59</v>
      </c>
      <c r="AL69" s="170">
        <v>-102</v>
      </c>
      <c r="AM69" s="160">
        <f>AN69-AL69</f>
        <v>-53</v>
      </c>
      <c r="AN69" s="170">
        <v>-155</v>
      </c>
      <c r="AO69" s="160">
        <f>+AP69-AN69</f>
        <v>-56</v>
      </c>
      <c r="AP69" s="245">
        <v>-211</v>
      </c>
      <c r="AR69" s="311" t="s">
        <v>507</v>
      </c>
      <c r="AS69" s="112" t="s">
        <v>507</v>
      </c>
      <c r="AT69" s="170">
        <v>-113</v>
      </c>
      <c r="AU69" s="112" t="s">
        <v>507</v>
      </c>
      <c r="AV69" s="171" t="s">
        <v>507</v>
      </c>
      <c r="AW69" s="112" t="s">
        <v>507</v>
      </c>
      <c r="AX69" s="245">
        <v>-226</v>
      </c>
      <c r="AZ69" s="311" t="s">
        <v>507</v>
      </c>
      <c r="BA69" s="112" t="s">
        <v>507</v>
      </c>
      <c r="BB69" s="170">
        <v>-113</v>
      </c>
      <c r="BC69" s="112" t="s">
        <v>507</v>
      </c>
      <c r="BD69" s="171" t="s">
        <v>507</v>
      </c>
      <c r="BE69" s="112" t="s">
        <v>507</v>
      </c>
      <c r="BF69" s="501">
        <f>-226</f>
        <v>-226</v>
      </c>
      <c r="BH69" s="311" t="s">
        <v>507</v>
      </c>
      <c r="BI69" s="112" t="s">
        <v>507</v>
      </c>
      <c r="BJ69" s="170">
        <v>-110</v>
      </c>
      <c r="BK69" s="171" t="s">
        <v>507</v>
      </c>
      <c r="BL69" s="112" t="s">
        <v>507</v>
      </c>
      <c r="BM69" s="171" t="s">
        <v>507</v>
      </c>
      <c r="BN69" s="495">
        <f>-232</f>
        <v>-232</v>
      </c>
      <c r="BP69" s="311" t="s">
        <v>507</v>
      </c>
      <c r="BQ69" s="112" t="s">
        <v>507</v>
      </c>
      <c r="BR69" s="170"/>
      <c r="BS69" s="171"/>
      <c r="BT69" s="112" t="s">
        <v>507</v>
      </c>
      <c r="BU69" s="171"/>
      <c r="BV69" s="495"/>
    </row>
    <row r="70" spans="1:74" s="58" customFormat="1" ht="12.75">
      <c r="A70" s="57"/>
      <c r="B70" s="133" t="s">
        <v>365</v>
      </c>
      <c r="D70" s="218">
        <v>-2</v>
      </c>
      <c r="E70" s="160">
        <f>+F70-D70</f>
        <v>-47</v>
      </c>
      <c r="F70" s="170">
        <f>-46-3</f>
        <v>-49</v>
      </c>
      <c r="G70" s="160">
        <f>+H70-F70</f>
        <v>1</v>
      </c>
      <c r="H70" s="170">
        <f>-46-2</f>
        <v>-48</v>
      </c>
      <c r="I70" s="160">
        <f>+J70-H70</f>
        <v>2</v>
      </c>
      <c r="J70" s="245">
        <v>-46</v>
      </c>
      <c r="L70" s="218"/>
      <c r="M70" s="160"/>
      <c r="N70" s="170"/>
      <c r="O70" s="160"/>
      <c r="P70" s="170"/>
      <c r="Q70" s="160"/>
      <c r="R70" s="245">
        <f>-6-161</f>
        <v>-167</v>
      </c>
      <c r="T70" s="218"/>
      <c r="U70" s="160"/>
      <c r="V70" s="170"/>
      <c r="W70" s="160"/>
      <c r="X70" s="170"/>
      <c r="Y70" s="160"/>
      <c r="Z70" s="245">
        <f>-6-161</f>
        <v>-167</v>
      </c>
      <c r="AB70" s="218"/>
      <c r="AC70" s="160"/>
      <c r="AD70" s="170"/>
      <c r="AE70" s="160"/>
      <c r="AF70" s="170"/>
      <c r="AG70" s="160"/>
      <c r="AH70" s="245">
        <f>-412-657</f>
        <v>-1069</v>
      </c>
      <c r="AJ70" s="218"/>
      <c r="AK70" s="160"/>
      <c r="AL70" s="170"/>
      <c r="AM70" s="160"/>
      <c r="AN70" s="170"/>
      <c r="AO70" s="160"/>
      <c r="AP70" s="245">
        <v>-2</v>
      </c>
      <c r="AR70" s="218"/>
      <c r="AS70" s="160"/>
      <c r="AT70" s="170"/>
      <c r="AU70" s="160"/>
      <c r="AV70" s="171"/>
      <c r="AW70" s="160"/>
      <c r="AX70" s="245">
        <v>-49</v>
      </c>
      <c r="AZ70" s="218"/>
      <c r="BA70" s="160"/>
      <c r="BB70" s="170"/>
      <c r="BC70" s="160"/>
      <c r="BD70" s="171"/>
      <c r="BE70" s="160"/>
      <c r="BF70" s="501">
        <v>-49</v>
      </c>
      <c r="BH70" s="91"/>
      <c r="BJ70" s="170"/>
      <c r="BK70" s="160"/>
      <c r="BL70" s="171"/>
      <c r="BM70" s="160"/>
      <c r="BN70" s="241">
        <v>-1</v>
      </c>
      <c r="BP70" s="91"/>
      <c r="BR70" s="170"/>
      <c r="BS70" s="160"/>
      <c r="BT70" s="171"/>
      <c r="BU70" s="160"/>
      <c r="BV70" s="241"/>
    </row>
    <row r="71" spans="1:74" s="58" customFormat="1" ht="12.75">
      <c r="A71" s="57"/>
      <c r="B71" s="88" t="s">
        <v>276</v>
      </c>
      <c r="D71" s="218"/>
      <c r="E71" s="160"/>
      <c r="F71" s="170"/>
      <c r="G71" s="160"/>
      <c r="H71" s="170"/>
      <c r="I71" s="160"/>
      <c r="J71" s="245"/>
      <c r="L71" s="218"/>
      <c r="M71" s="160"/>
      <c r="N71" s="170"/>
      <c r="O71" s="160"/>
      <c r="P71" s="170"/>
      <c r="Q71" s="160"/>
      <c r="R71" s="245"/>
      <c r="T71" s="218"/>
      <c r="U71" s="160"/>
      <c r="V71" s="170"/>
      <c r="W71" s="160"/>
      <c r="X71" s="170"/>
      <c r="Y71" s="160"/>
      <c r="Z71" s="245"/>
      <c r="AB71" s="218"/>
      <c r="AC71" s="160"/>
      <c r="AD71" s="170"/>
      <c r="AE71" s="160"/>
      <c r="AF71" s="170"/>
      <c r="AG71" s="160"/>
      <c r="AH71" s="245"/>
      <c r="AJ71" s="218"/>
      <c r="AK71" s="160"/>
      <c r="AL71" s="170"/>
      <c r="AM71" s="160"/>
      <c r="AN71" s="170"/>
      <c r="AO71" s="160"/>
      <c r="AP71" s="245"/>
      <c r="AR71" s="218"/>
      <c r="AS71" s="160"/>
      <c r="AT71" s="170"/>
      <c r="AU71" s="160"/>
      <c r="AV71" s="171"/>
      <c r="AW71" s="160"/>
      <c r="AX71" s="245">
        <v>15</v>
      </c>
      <c r="AZ71" s="218"/>
      <c r="BA71" s="160"/>
      <c r="BB71" s="170"/>
      <c r="BC71" s="160"/>
      <c r="BD71" s="171"/>
      <c r="BE71" s="160"/>
      <c r="BF71" s="501">
        <v>15</v>
      </c>
      <c r="BH71" s="218"/>
      <c r="BI71" s="160"/>
      <c r="BJ71" s="170"/>
      <c r="BK71" s="160"/>
      <c r="BL71" s="171"/>
      <c r="BM71" s="160"/>
      <c r="BN71" s="241">
        <v>0</v>
      </c>
      <c r="BP71" s="218"/>
      <c r="BQ71" s="160"/>
      <c r="BR71" s="170"/>
      <c r="BS71" s="160"/>
      <c r="BT71" s="171"/>
      <c r="BU71" s="160"/>
      <c r="BV71" s="241"/>
    </row>
    <row r="72" spans="1:74" s="58" customFormat="1" ht="12.75">
      <c r="A72" s="57"/>
      <c r="B72" s="133"/>
      <c r="D72" s="218"/>
      <c r="E72" s="160"/>
      <c r="F72" s="170"/>
      <c r="G72" s="160"/>
      <c r="H72" s="170"/>
      <c r="I72" s="160"/>
      <c r="J72" s="245"/>
      <c r="L72" s="218"/>
      <c r="M72" s="160"/>
      <c r="N72" s="170"/>
      <c r="O72" s="160"/>
      <c r="P72" s="170"/>
      <c r="Q72" s="160"/>
      <c r="R72" s="245"/>
      <c r="T72" s="218"/>
      <c r="U72" s="160"/>
      <c r="V72" s="170"/>
      <c r="W72" s="160"/>
      <c r="X72" s="170"/>
      <c r="Y72" s="160"/>
      <c r="Z72" s="245"/>
      <c r="AB72" s="218"/>
      <c r="AC72" s="160"/>
      <c r="AD72" s="170"/>
      <c r="AE72" s="160"/>
      <c r="AF72" s="170"/>
      <c r="AG72" s="160"/>
      <c r="AH72" s="245"/>
      <c r="AJ72" s="218"/>
      <c r="AK72" s="160"/>
      <c r="AL72" s="170"/>
      <c r="AM72" s="160"/>
      <c r="AN72" s="170"/>
      <c r="AO72" s="160"/>
      <c r="AP72" s="245"/>
      <c r="AR72" s="218"/>
      <c r="AS72" s="160"/>
      <c r="AT72" s="170"/>
      <c r="AU72" s="160"/>
      <c r="AV72" s="171"/>
      <c r="AW72" s="160"/>
      <c r="AX72" s="245"/>
      <c r="AZ72" s="218"/>
      <c r="BA72" s="160"/>
      <c r="BB72" s="170"/>
      <c r="BC72" s="160"/>
      <c r="BD72" s="171"/>
      <c r="BE72" s="160"/>
      <c r="BF72" s="245"/>
      <c r="BG72" s="164"/>
      <c r="BH72" s="218"/>
      <c r="BI72" s="160"/>
      <c r="BJ72" s="170"/>
      <c r="BK72" s="160"/>
      <c r="BL72" s="171"/>
      <c r="BM72" s="160"/>
      <c r="BN72" s="261"/>
      <c r="BP72" s="218"/>
      <c r="BQ72" s="160"/>
      <c r="BR72" s="170"/>
      <c r="BS72" s="160"/>
      <c r="BT72" s="171"/>
      <c r="BU72" s="160"/>
      <c r="BV72" s="261"/>
    </row>
    <row r="73" spans="1:74" ht="12.75">
      <c r="A73" s="61"/>
      <c r="B73" s="257" t="s">
        <v>351</v>
      </c>
      <c r="D73" s="144">
        <f aca="true" t="shared" si="54" ref="D73:J73">+D66+D68+D69+D70</f>
        <v>71</v>
      </c>
      <c r="E73" s="59">
        <f t="shared" si="54"/>
        <v>86</v>
      </c>
      <c r="F73" s="59">
        <f t="shared" si="54"/>
        <v>157</v>
      </c>
      <c r="G73" s="59">
        <f t="shared" si="54"/>
        <v>106</v>
      </c>
      <c r="H73" s="59">
        <f t="shared" si="54"/>
        <v>263</v>
      </c>
      <c r="I73" s="59">
        <f t="shared" si="54"/>
        <v>124</v>
      </c>
      <c r="J73" s="258">
        <f t="shared" si="54"/>
        <v>387</v>
      </c>
      <c r="L73" s="144">
        <f aca="true" t="shared" si="55" ref="L73:R73">+L66+L68+L69+L70</f>
        <v>124</v>
      </c>
      <c r="M73" s="59">
        <f t="shared" si="55"/>
        <v>116</v>
      </c>
      <c r="N73" s="59">
        <f t="shared" si="55"/>
        <v>240</v>
      </c>
      <c r="O73" s="59">
        <f t="shared" si="55"/>
        <v>80</v>
      </c>
      <c r="P73" s="59">
        <f t="shared" si="55"/>
        <v>320</v>
      </c>
      <c r="Q73" s="59">
        <f t="shared" si="55"/>
        <v>107</v>
      </c>
      <c r="R73" s="258">
        <f t="shared" si="55"/>
        <v>260</v>
      </c>
      <c r="T73" s="144">
        <f aca="true" t="shared" si="56" ref="T73:Z73">+T66+T68+T69+T70</f>
        <v>124</v>
      </c>
      <c r="U73" s="59">
        <f t="shared" si="56"/>
        <v>116</v>
      </c>
      <c r="V73" s="59">
        <f t="shared" si="56"/>
        <v>240</v>
      </c>
      <c r="W73" s="55">
        <f t="shared" si="56"/>
        <v>80</v>
      </c>
      <c r="X73" s="59">
        <f t="shared" si="56"/>
        <v>320</v>
      </c>
      <c r="Y73" s="55">
        <f t="shared" si="56"/>
        <v>107</v>
      </c>
      <c r="Z73" s="83">
        <f t="shared" si="56"/>
        <v>260</v>
      </c>
      <c r="AB73" s="144">
        <f aca="true" t="shared" si="57" ref="AB73:AH73">+AB66+AB68+AB69+AB70</f>
        <v>41</v>
      </c>
      <c r="AC73" s="59">
        <f t="shared" si="57"/>
        <v>53</v>
      </c>
      <c r="AD73" s="59">
        <f t="shared" si="57"/>
        <v>94</v>
      </c>
      <c r="AE73" s="55">
        <f t="shared" si="57"/>
        <v>64</v>
      </c>
      <c r="AF73" s="59">
        <f t="shared" si="57"/>
        <v>158</v>
      </c>
      <c r="AG73" s="55">
        <f t="shared" si="57"/>
        <v>-66</v>
      </c>
      <c r="AH73" s="83">
        <f t="shared" si="57"/>
        <v>-977</v>
      </c>
      <c r="AJ73" s="144">
        <f aca="true" t="shared" si="58" ref="AJ73:AP73">+AJ66+AJ68+AJ69+AJ70</f>
        <v>26</v>
      </c>
      <c r="AK73" s="59">
        <f t="shared" si="58"/>
        <v>61</v>
      </c>
      <c r="AL73" s="59">
        <f t="shared" si="58"/>
        <v>87</v>
      </c>
      <c r="AM73" s="55">
        <f t="shared" si="58"/>
        <v>52</v>
      </c>
      <c r="AN73" s="59">
        <f t="shared" si="58"/>
        <v>139</v>
      </c>
      <c r="AO73" s="55">
        <f t="shared" si="58"/>
        <v>47</v>
      </c>
      <c r="AP73" s="83">
        <f t="shared" si="58"/>
        <v>184</v>
      </c>
      <c r="AR73" s="344" t="s">
        <v>507</v>
      </c>
      <c r="AS73" s="340" t="s">
        <v>507</v>
      </c>
      <c r="AT73" s="263">
        <f>+AT66+AT68+AT69+AT70</f>
        <v>34</v>
      </c>
      <c r="AU73" s="340" t="s">
        <v>507</v>
      </c>
      <c r="AV73" s="345" t="s">
        <v>507</v>
      </c>
      <c r="AW73" s="340" t="s">
        <v>507</v>
      </c>
      <c r="AX73" s="247">
        <f>+AX66+AX68+AX69+AX70+AX71</f>
        <v>33</v>
      </c>
      <c r="AZ73" s="344" t="s">
        <v>507</v>
      </c>
      <c r="BA73" s="340" t="s">
        <v>507</v>
      </c>
      <c r="BB73" s="263">
        <f>+BB66+BB68+BB69+BB70</f>
        <v>34</v>
      </c>
      <c r="BC73" s="340" t="s">
        <v>507</v>
      </c>
      <c r="BD73" s="451" t="s">
        <v>507</v>
      </c>
      <c r="BE73" s="340" t="s">
        <v>507</v>
      </c>
      <c r="BF73" s="247">
        <f>+BF66+BF68+BF69+BF70+BF71</f>
        <v>33</v>
      </c>
      <c r="BH73" s="344" t="s">
        <v>507</v>
      </c>
      <c r="BI73" s="340" t="s">
        <v>507</v>
      </c>
      <c r="BJ73" s="263">
        <f>+SUM(BJ66:BJ71)</f>
        <v>72</v>
      </c>
      <c r="BK73" s="171" t="s">
        <v>507</v>
      </c>
      <c r="BL73" s="112" t="s">
        <v>507</v>
      </c>
      <c r="BM73" s="171" t="s">
        <v>507</v>
      </c>
      <c r="BN73" s="247">
        <f>+SUM(BN66:BN71)</f>
        <v>96</v>
      </c>
      <c r="BP73" s="894">
        <v>57</v>
      </c>
      <c r="BQ73" s="340" t="s">
        <v>507</v>
      </c>
      <c r="BR73" s="263">
        <f>+BR66+BR68+BR69+BR70</f>
        <v>0</v>
      </c>
      <c r="BS73" s="171"/>
      <c r="BT73" s="112" t="s">
        <v>507</v>
      </c>
      <c r="BU73" s="171"/>
      <c r="BV73" s="247">
        <f>+BV66+BV68+BV69+BV70+BV71</f>
        <v>0</v>
      </c>
    </row>
    <row r="74" spans="2:74" s="101" customFormat="1" ht="12.75">
      <c r="B74" s="156"/>
      <c r="D74" s="234"/>
      <c r="F74" s="209"/>
      <c r="G74" s="55"/>
      <c r="H74" s="209"/>
      <c r="I74" s="55"/>
      <c r="J74" s="117"/>
      <c r="L74" s="234"/>
      <c r="N74" s="209"/>
      <c r="O74" s="55"/>
      <c r="P74" s="209"/>
      <c r="Q74" s="55"/>
      <c r="R74" s="117"/>
      <c r="T74" s="234"/>
      <c r="V74" s="209"/>
      <c r="W74" s="55"/>
      <c r="X74" s="209"/>
      <c r="Y74" s="55"/>
      <c r="Z74" s="117"/>
      <c r="AB74" s="234"/>
      <c r="AD74" s="209"/>
      <c r="AE74" s="55"/>
      <c r="AF74" s="209"/>
      <c r="AG74" s="55"/>
      <c r="AH74" s="117"/>
      <c r="AJ74" s="234"/>
      <c r="AL74" s="209"/>
      <c r="AM74" s="55"/>
      <c r="AN74" s="209"/>
      <c r="AO74" s="55"/>
      <c r="AP74" s="117"/>
      <c r="AR74" s="234"/>
      <c r="AS74" s="18"/>
      <c r="AT74" s="209"/>
      <c r="AU74" s="251"/>
      <c r="AV74" s="335"/>
      <c r="AW74" s="55"/>
      <c r="AX74" s="117"/>
      <c r="AZ74" s="234"/>
      <c r="BA74" s="18"/>
      <c r="BB74" s="209"/>
      <c r="BC74" s="251"/>
      <c r="BD74" s="171"/>
      <c r="BE74" s="55"/>
      <c r="BF74" s="95"/>
      <c r="BG74" s="57"/>
      <c r="BH74" s="214"/>
      <c r="BI74" s="57"/>
      <c r="BJ74" s="263"/>
      <c r="BK74" s="251"/>
      <c r="BL74" s="452"/>
      <c r="BM74" s="251"/>
      <c r="BN74" s="455"/>
      <c r="BP74" s="214"/>
      <c r="BQ74" s="57"/>
      <c r="BR74" s="263"/>
      <c r="BS74" s="251"/>
      <c r="BT74" s="452"/>
      <c r="BU74" s="251"/>
      <c r="BV74" s="455"/>
    </row>
    <row r="75" spans="1:74" s="58" customFormat="1" ht="12.75">
      <c r="A75" s="57"/>
      <c r="B75" s="133" t="s">
        <v>153</v>
      </c>
      <c r="D75" s="214">
        <v>5</v>
      </c>
      <c r="E75" s="60">
        <f>+F75-D75</f>
        <v>6</v>
      </c>
      <c r="F75" s="219">
        <v>11</v>
      </c>
      <c r="G75" s="160">
        <f>+H75-F75</f>
        <v>6</v>
      </c>
      <c r="H75" s="170">
        <f>16+1</f>
        <v>17</v>
      </c>
      <c r="I75" s="160">
        <f>+J75-H75</f>
        <v>14</v>
      </c>
      <c r="J75" s="245">
        <v>31</v>
      </c>
      <c r="L75" s="214">
        <v>5</v>
      </c>
      <c r="M75" s="60">
        <f>+N75-L75</f>
        <v>11</v>
      </c>
      <c r="N75" s="219">
        <v>16</v>
      </c>
      <c r="O75" s="160">
        <f>+P75-N75</f>
        <v>16</v>
      </c>
      <c r="P75" s="170">
        <f>30+2</f>
        <v>32</v>
      </c>
      <c r="Q75" s="160">
        <f>+R75-P75</f>
        <v>14</v>
      </c>
      <c r="R75" s="245">
        <v>46</v>
      </c>
      <c r="T75" s="214">
        <v>5</v>
      </c>
      <c r="U75" s="60">
        <f>+V75-T75</f>
        <v>11</v>
      </c>
      <c r="V75" s="219">
        <v>16</v>
      </c>
      <c r="W75" s="160">
        <f>+X75-V75</f>
        <v>16</v>
      </c>
      <c r="X75" s="170">
        <v>32</v>
      </c>
      <c r="Y75" s="160">
        <f>+Z75-X75</f>
        <v>14</v>
      </c>
      <c r="Z75" s="245">
        <v>46</v>
      </c>
      <c r="AB75" s="214">
        <v>4</v>
      </c>
      <c r="AC75" s="60">
        <f>+AD75-AB75</f>
        <v>8</v>
      </c>
      <c r="AD75" s="219">
        <v>12</v>
      </c>
      <c r="AE75" s="160">
        <f>+AF75-AD75</f>
        <v>10</v>
      </c>
      <c r="AF75" s="170">
        <v>22</v>
      </c>
      <c r="AG75" s="160">
        <f>+AH75-AF75</f>
        <v>21</v>
      </c>
      <c r="AH75" s="245">
        <v>43</v>
      </c>
      <c r="AJ75" s="214">
        <v>8</v>
      </c>
      <c r="AK75" s="60">
        <f>+AL75-AJ75</f>
        <v>17</v>
      </c>
      <c r="AL75" s="219">
        <f>24+1</f>
        <v>25</v>
      </c>
      <c r="AM75" s="160">
        <f>AN75-AL75</f>
        <v>22</v>
      </c>
      <c r="AN75" s="170">
        <v>47</v>
      </c>
      <c r="AO75" s="160">
        <f>+AP75-AN75</f>
        <v>60</v>
      </c>
      <c r="AP75" s="245">
        <v>107</v>
      </c>
      <c r="AR75" s="325" t="s">
        <v>507</v>
      </c>
      <c r="AS75" s="112" t="s">
        <v>507</v>
      </c>
      <c r="AT75" s="219">
        <v>32</v>
      </c>
      <c r="AU75" s="112" t="s">
        <v>507</v>
      </c>
      <c r="AV75" s="171" t="s">
        <v>507</v>
      </c>
      <c r="AW75" s="112" t="s">
        <v>507</v>
      </c>
      <c r="AX75" s="245">
        <v>140</v>
      </c>
      <c r="AZ75" s="325" t="s">
        <v>507</v>
      </c>
      <c r="BA75" s="112" t="s">
        <v>507</v>
      </c>
      <c r="BB75" s="219">
        <v>32</v>
      </c>
      <c r="BC75" s="112" t="s">
        <v>507</v>
      </c>
      <c r="BD75" s="171" t="s">
        <v>507</v>
      </c>
      <c r="BE75" s="112" t="s">
        <v>507</v>
      </c>
      <c r="BF75" s="495">
        <v>140</v>
      </c>
      <c r="BG75" s="164"/>
      <c r="BH75" s="325" t="s">
        <v>507</v>
      </c>
      <c r="BI75" s="112" t="s">
        <v>507</v>
      </c>
      <c r="BJ75" s="219">
        <v>89</v>
      </c>
      <c r="BK75" s="171" t="s">
        <v>507</v>
      </c>
      <c r="BL75" s="112" t="s">
        <v>507</v>
      </c>
      <c r="BM75" s="171" t="s">
        <v>507</v>
      </c>
      <c r="BN75" s="495">
        <v>239</v>
      </c>
      <c r="BP75" s="325">
        <v>20</v>
      </c>
      <c r="BQ75" s="112" t="s">
        <v>507</v>
      </c>
      <c r="BR75" s="219"/>
      <c r="BS75" s="171"/>
      <c r="BT75" s="112" t="s">
        <v>507</v>
      </c>
      <c r="BU75" s="171"/>
      <c r="BV75" s="495"/>
    </row>
    <row r="76" spans="1:74" ht="12.75">
      <c r="A76" s="58"/>
      <c r="B76" s="136"/>
      <c r="D76" s="214"/>
      <c r="E76" s="62"/>
      <c r="F76" s="219"/>
      <c r="G76" s="62"/>
      <c r="H76" s="219"/>
      <c r="I76" s="55"/>
      <c r="J76" s="245"/>
      <c r="L76" s="214"/>
      <c r="M76" s="62"/>
      <c r="N76" s="219"/>
      <c r="O76" s="62"/>
      <c r="P76" s="219"/>
      <c r="Q76" s="55"/>
      <c r="R76" s="245"/>
      <c r="T76" s="214"/>
      <c r="U76" s="62"/>
      <c r="V76" s="219"/>
      <c r="W76" s="62"/>
      <c r="X76" s="219"/>
      <c r="Y76" s="55"/>
      <c r="Z76" s="245"/>
      <c r="AB76" s="214"/>
      <c r="AC76" s="62"/>
      <c r="AD76" s="219"/>
      <c r="AE76" s="62"/>
      <c r="AF76" s="219"/>
      <c r="AG76" s="55"/>
      <c r="AH76" s="245"/>
      <c r="AJ76" s="214"/>
      <c r="AK76" s="62"/>
      <c r="AL76" s="219"/>
      <c r="AM76" s="62"/>
      <c r="AN76" s="219"/>
      <c r="AO76" s="55"/>
      <c r="AP76" s="245"/>
      <c r="AR76" s="325"/>
      <c r="AS76" s="252"/>
      <c r="AT76" s="219"/>
      <c r="AU76" s="252"/>
      <c r="AV76" s="219"/>
      <c r="AW76" s="55"/>
      <c r="AX76" s="245"/>
      <c r="AZ76" s="325"/>
      <c r="BA76" s="252"/>
      <c r="BB76" s="219"/>
      <c r="BC76" s="252"/>
      <c r="BD76" s="219"/>
      <c r="BE76" s="55"/>
      <c r="BF76" s="245"/>
      <c r="BH76" s="325"/>
      <c r="BJ76" s="219"/>
      <c r="BK76" s="252"/>
      <c r="BL76" s="219"/>
      <c r="BM76" s="252"/>
      <c r="BN76" s="460"/>
      <c r="BP76" s="325"/>
      <c r="BR76" s="219"/>
      <c r="BS76" s="252"/>
      <c r="BT76" s="219"/>
      <c r="BU76" s="252"/>
      <c r="BV76" s="460"/>
    </row>
    <row r="77" spans="2:74" ht="12" customHeight="1">
      <c r="B77" s="287" t="s">
        <v>491</v>
      </c>
      <c r="D77" s="230">
        <v>1138</v>
      </c>
      <c r="E77" s="152"/>
      <c r="F77" s="232">
        <v>1166</v>
      </c>
      <c r="G77" s="152"/>
      <c r="H77" s="232">
        <v>1138</v>
      </c>
      <c r="I77" s="153"/>
      <c r="J77" s="277">
        <v>1138</v>
      </c>
      <c r="L77" s="230">
        <v>1116</v>
      </c>
      <c r="M77" s="152"/>
      <c r="N77" s="232">
        <v>1105</v>
      </c>
      <c r="O77" s="152"/>
      <c r="P77" s="232">
        <v>1102</v>
      </c>
      <c r="Q77" s="153"/>
      <c r="R77" s="277">
        <v>1051</v>
      </c>
      <c r="T77" s="230">
        <v>1051</v>
      </c>
      <c r="U77" s="152"/>
      <c r="V77" s="232">
        <v>1051</v>
      </c>
      <c r="W77" s="152"/>
      <c r="X77" s="232">
        <v>1051</v>
      </c>
      <c r="Y77" s="153"/>
      <c r="Z77" s="277">
        <v>1051</v>
      </c>
      <c r="AB77" s="230">
        <v>1046</v>
      </c>
      <c r="AC77" s="152"/>
      <c r="AD77" s="232">
        <v>1037</v>
      </c>
      <c r="AE77" s="152"/>
      <c r="AF77" s="232">
        <v>1040</v>
      </c>
      <c r="AG77" s="153"/>
      <c r="AH77" s="277">
        <v>1030</v>
      </c>
      <c r="AJ77" s="230">
        <v>930</v>
      </c>
      <c r="AK77" s="152"/>
      <c r="AL77" s="232">
        <v>3041</v>
      </c>
      <c r="AM77" s="152"/>
      <c r="AN77" s="232">
        <v>2908</v>
      </c>
      <c r="AO77" s="153"/>
      <c r="AP77" s="277">
        <v>2949</v>
      </c>
      <c r="AR77" s="326" t="s">
        <v>507</v>
      </c>
      <c r="AS77" s="341"/>
      <c r="AT77" s="232">
        <v>3007</v>
      </c>
      <c r="AU77" s="341"/>
      <c r="AV77" s="330" t="s">
        <v>507</v>
      </c>
      <c r="AW77" s="153"/>
      <c r="AX77" s="342">
        <v>3156</v>
      </c>
      <c r="AZ77" s="326" t="s">
        <v>507</v>
      </c>
      <c r="BA77" s="341"/>
      <c r="BB77" s="356">
        <v>3007</v>
      </c>
      <c r="BC77" s="341"/>
      <c r="BD77" s="330" t="s">
        <v>507</v>
      </c>
      <c r="BE77" s="153"/>
      <c r="BF77" s="277">
        <v>3156</v>
      </c>
      <c r="BH77" s="326" t="s">
        <v>507</v>
      </c>
      <c r="BI77" s="341" t="s">
        <v>507</v>
      </c>
      <c r="BJ77" s="356">
        <v>3186</v>
      </c>
      <c r="BK77" s="330" t="s">
        <v>507</v>
      </c>
      <c r="BL77" s="341" t="s">
        <v>507</v>
      </c>
      <c r="BM77" s="330" t="s">
        <v>507</v>
      </c>
      <c r="BN77" s="342">
        <v>3303</v>
      </c>
      <c r="BP77" s="326" t="s">
        <v>507</v>
      </c>
      <c r="BQ77" s="341" t="s">
        <v>507</v>
      </c>
      <c r="BR77" s="356"/>
      <c r="BS77" s="330"/>
      <c r="BT77" s="341" t="s">
        <v>507</v>
      </c>
      <c r="BU77" s="330"/>
      <c r="BV77" s="342"/>
    </row>
    <row r="78" spans="9:56" ht="12.75">
      <c r="I78" s="57"/>
      <c r="AV78" s="164"/>
      <c r="BD78" s="164"/>
    </row>
    <row r="79" spans="48:56" s="49" customFormat="1" ht="12.75">
      <c r="AV79" s="164"/>
      <c r="BD79" s="164"/>
    </row>
    <row r="80" spans="2:74" s="51" customFormat="1" ht="17.25" customHeight="1">
      <c r="B80" s="129" t="s">
        <v>209</v>
      </c>
      <c r="D80" s="322" t="s">
        <v>220</v>
      </c>
      <c r="E80" s="323" t="s">
        <v>221</v>
      </c>
      <c r="F80" s="323" t="s">
        <v>222</v>
      </c>
      <c r="G80" s="323" t="s">
        <v>223</v>
      </c>
      <c r="H80" s="323" t="s">
        <v>224</v>
      </c>
      <c r="I80" s="323" t="s">
        <v>225</v>
      </c>
      <c r="J80" s="324" t="s">
        <v>226</v>
      </c>
      <c r="L80" s="322" t="s">
        <v>234</v>
      </c>
      <c r="M80" s="323" t="s">
        <v>235</v>
      </c>
      <c r="N80" s="323" t="s">
        <v>236</v>
      </c>
      <c r="O80" s="323" t="s">
        <v>237</v>
      </c>
      <c r="P80" s="323" t="s">
        <v>238</v>
      </c>
      <c r="Q80" s="323" t="s">
        <v>239</v>
      </c>
      <c r="R80" s="324" t="s">
        <v>240</v>
      </c>
      <c r="T80" s="322" t="str">
        <f aca="true" t="shared" si="59" ref="T80:Z80">+T4</f>
        <v>IQ 2014</v>
      </c>
      <c r="U80" s="323" t="str">
        <f t="shared" si="59"/>
        <v>IIQ 2014</v>
      </c>
      <c r="V80" s="323" t="str">
        <f t="shared" si="59"/>
        <v>IH 2014</v>
      </c>
      <c r="W80" s="323" t="str">
        <f t="shared" si="59"/>
        <v>III Q 2014</v>
      </c>
      <c r="X80" s="323" t="str">
        <f t="shared" si="59"/>
        <v>9M 2014</v>
      </c>
      <c r="Y80" s="323" t="str">
        <f t="shared" si="59"/>
        <v>IV Q 2014</v>
      </c>
      <c r="Z80" s="324" t="str">
        <f t="shared" si="59"/>
        <v>FY 2014</v>
      </c>
      <c r="AB80" s="322" t="str">
        <f aca="true" t="shared" si="60" ref="AB80:AH80">+AB4</f>
        <v>IQ 2015</v>
      </c>
      <c r="AC80" s="323" t="str">
        <f t="shared" si="60"/>
        <v>IIQ 2015</v>
      </c>
      <c r="AD80" s="323" t="str">
        <f t="shared" si="60"/>
        <v>IH 2015</v>
      </c>
      <c r="AE80" s="323" t="str">
        <f t="shared" si="60"/>
        <v>III Q 2015</v>
      </c>
      <c r="AF80" s="323" t="str">
        <f t="shared" si="60"/>
        <v>9M 2015</v>
      </c>
      <c r="AG80" s="323" t="str">
        <f t="shared" si="60"/>
        <v>IV Q 2015</v>
      </c>
      <c r="AH80" s="324" t="str">
        <f t="shared" si="60"/>
        <v>FY 2015</v>
      </c>
      <c r="AJ80" s="322" t="s">
        <v>279</v>
      </c>
      <c r="AK80" s="323" t="s">
        <v>280</v>
      </c>
      <c r="AL80" s="323" t="s">
        <v>281</v>
      </c>
      <c r="AM80" s="323" t="s">
        <v>282</v>
      </c>
      <c r="AN80" s="323" t="s">
        <v>283</v>
      </c>
      <c r="AO80" s="323" t="s">
        <v>284</v>
      </c>
      <c r="AP80" s="324" t="s">
        <v>355</v>
      </c>
      <c r="AR80" s="322" t="str">
        <f>+AR61</f>
        <v>IQ 2017</v>
      </c>
      <c r="AS80" s="323" t="str">
        <f aca="true" t="shared" si="61" ref="AS80:AX80">+AS61</f>
        <v>IIQ 2017</v>
      </c>
      <c r="AT80" s="323" t="str">
        <f t="shared" si="61"/>
        <v>IH 2017</v>
      </c>
      <c r="AU80" s="323" t="str">
        <f t="shared" si="61"/>
        <v>III Q 2017</v>
      </c>
      <c r="AV80" s="323" t="str">
        <f t="shared" si="61"/>
        <v>9M 2017</v>
      </c>
      <c r="AW80" s="323" t="str">
        <f t="shared" si="61"/>
        <v>IV Q 2017</v>
      </c>
      <c r="AX80" s="324" t="str">
        <f t="shared" si="61"/>
        <v>FY 2017</v>
      </c>
      <c r="AZ80" s="322" t="s">
        <v>506</v>
      </c>
      <c r="BA80" s="323" t="s">
        <v>508</v>
      </c>
      <c r="BB80" s="323" t="s">
        <v>561</v>
      </c>
      <c r="BC80" s="323" t="s">
        <v>509</v>
      </c>
      <c r="BD80" s="323" t="s">
        <v>510</v>
      </c>
      <c r="BE80" s="323" t="s">
        <v>511</v>
      </c>
      <c r="BF80" s="324" t="s">
        <v>533</v>
      </c>
      <c r="BH80" s="850" t="str">
        <f>+BH45</f>
        <v>IQ 2018</v>
      </c>
      <c r="BI80" s="851" t="str">
        <f aca="true" t="shared" si="62" ref="BI80:BN80">+BI61</f>
        <v>IIQ 2018 </v>
      </c>
      <c r="BJ80" s="851" t="str">
        <f t="shared" si="62"/>
        <v>IH 2018</v>
      </c>
      <c r="BK80" s="851" t="str">
        <f t="shared" si="62"/>
        <v>III Q 2018</v>
      </c>
      <c r="BL80" s="851" t="str">
        <f t="shared" si="62"/>
        <v>9M 2018</v>
      </c>
      <c r="BM80" s="851" t="str">
        <f t="shared" si="62"/>
        <v>IV Q 2018</v>
      </c>
      <c r="BN80" s="852" t="str">
        <f t="shared" si="62"/>
        <v>FY 2018</v>
      </c>
      <c r="BP80" s="850" t="str">
        <f>+BP45</f>
        <v>IQ 2019</v>
      </c>
      <c r="BQ80" s="851" t="str">
        <f aca="true" t="shared" si="63" ref="BQ80:BV80">+BQ61</f>
        <v>IIQ 2019 </v>
      </c>
      <c r="BR80" s="851" t="str">
        <f t="shared" si="63"/>
        <v>IH 2019</v>
      </c>
      <c r="BS80" s="851" t="str">
        <f t="shared" si="63"/>
        <v>III Q 2019</v>
      </c>
      <c r="BT80" s="851" t="str">
        <f t="shared" si="63"/>
        <v>9M 2019</v>
      </c>
      <c r="BU80" s="851" t="str">
        <f t="shared" si="63"/>
        <v>IV Q 2019</v>
      </c>
      <c r="BV80" s="852" t="str">
        <f t="shared" si="63"/>
        <v>FY 2019</v>
      </c>
    </row>
    <row r="81" spans="2:74" ht="12.75">
      <c r="B81" s="154"/>
      <c r="D81" s="103"/>
      <c r="I81" s="57"/>
      <c r="J81" s="95"/>
      <c r="L81" s="103"/>
      <c r="R81" s="95"/>
      <c r="T81" s="103"/>
      <c r="Z81" s="95"/>
      <c r="AB81" s="103"/>
      <c r="AH81" s="95"/>
      <c r="AJ81" s="181"/>
      <c r="AK81" s="182"/>
      <c r="AL81" s="182"/>
      <c r="AM81" s="182"/>
      <c r="AN81" s="182"/>
      <c r="AO81" s="182"/>
      <c r="AP81" s="183"/>
      <c r="AR81" s="181"/>
      <c r="AS81" s="182"/>
      <c r="AT81" s="182"/>
      <c r="AU81" s="182"/>
      <c r="AV81" s="336"/>
      <c r="AW81" s="182"/>
      <c r="AX81" s="183"/>
      <c r="AZ81" s="181"/>
      <c r="BA81" s="182"/>
      <c r="BB81" s="182"/>
      <c r="BC81" s="182"/>
      <c r="BD81" s="336"/>
      <c r="BE81" s="182"/>
      <c r="BF81" s="183"/>
      <c r="BH81" s="181"/>
      <c r="BI81" s="182"/>
      <c r="BJ81" s="182"/>
      <c r="BK81" s="182"/>
      <c r="BL81" s="336"/>
      <c r="BM81" s="182"/>
      <c r="BN81" s="183"/>
      <c r="BP81" s="181"/>
      <c r="BQ81" s="182"/>
      <c r="BR81" s="182"/>
      <c r="BS81" s="182"/>
      <c r="BT81" s="336"/>
      <c r="BU81" s="182"/>
      <c r="BV81" s="183"/>
    </row>
    <row r="82" spans="2:74" ht="12.75">
      <c r="B82" s="132" t="s">
        <v>154</v>
      </c>
      <c r="D82" s="260">
        <f>D7</f>
        <v>1845</v>
      </c>
      <c r="E82" s="251">
        <f>+F82-D82</f>
        <v>1202</v>
      </c>
      <c r="F82" s="251">
        <f>F7</f>
        <v>3047</v>
      </c>
      <c r="G82" s="251">
        <f>+H82-F82</f>
        <v>1299</v>
      </c>
      <c r="H82" s="251">
        <f>H7</f>
        <v>4346</v>
      </c>
      <c r="I82" s="251">
        <f>+J82-H82</f>
        <v>1652</v>
      </c>
      <c r="J82" s="247">
        <f>J7</f>
        <v>5998</v>
      </c>
      <c r="L82" s="260">
        <f>L7</f>
        <v>1495</v>
      </c>
      <c r="M82" s="251">
        <f>+N82-L82</f>
        <v>929</v>
      </c>
      <c r="N82" s="251">
        <f>N7</f>
        <v>2424</v>
      </c>
      <c r="O82" s="251">
        <f>+P82-N82</f>
        <v>981</v>
      </c>
      <c r="P82" s="251">
        <f>P7</f>
        <v>3405</v>
      </c>
      <c r="Q82" s="251">
        <f>+R82-P82</f>
        <v>1763</v>
      </c>
      <c r="R82" s="247">
        <f>R7</f>
        <v>5168</v>
      </c>
      <c r="T82" s="260">
        <f>T7</f>
        <v>1566</v>
      </c>
      <c r="U82" s="251">
        <f>+V82-T82</f>
        <v>1019</v>
      </c>
      <c r="V82" s="251">
        <f>V7</f>
        <v>2585</v>
      </c>
      <c r="W82" s="251">
        <f>+X82-V82</f>
        <v>1075</v>
      </c>
      <c r="X82" s="251">
        <f>X7</f>
        <v>3660</v>
      </c>
      <c r="Y82" s="251">
        <f>+Z82-X82</f>
        <v>1508</v>
      </c>
      <c r="Z82" s="247">
        <f>Z7</f>
        <v>5168</v>
      </c>
      <c r="AB82" s="260">
        <f>AB7</f>
        <v>1676</v>
      </c>
      <c r="AC82" s="251">
        <f>+AD82-AB82</f>
        <v>1041</v>
      </c>
      <c r="AD82" s="251">
        <f>AD7</f>
        <v>2717</v>
      </c>
      <c r="AE82" s="251">
        <f>+AF82-AD82</f>
        <v>1156</v>
      </c>
      <c r="AF82" s="251">
        <f>AF7</f>
        <v>3873</v>
      </c>
      <c r="AG82" s="251">
        <f>+AH82-AF82</f>
        <v>1639</v>
      </c>
      <c r="AH82" s="247">
        <f>AH7</f>
        <v>5512</v>
      </c>
      <c r="AJ82" s="260">
        <f>AJ7</f>
        <v>1836</v>
      </c>
      <c r="AK82" s="251">
        <f>+AL82-AJ82</f>
        <v>1275</v>
      </c>
      <c r="AL82" s="251">
        <f>+AL7</f>
        <v>3111</v>
      </c>
      <c r="AM82" s="251">
        <f>AN82-AL82</f>
        <v>1251</v>
      </c>
      <c r="AN82" s="251">
        <f>+AN7</f>
        <v>4362</v>
      </c>
      <c r="AO82" s="251">
        <f>+AP82-AN82</f>
        <v>1669</v>
      </c>
      <c r="AP82" s="247">
        <f>+AP7</f>
        <v>6031</v>
      </c>
      <c r="AR82" s="260">
        <f>+AR7</f>
        <v>1636</v>
      </c>
      <c r="AS82" s="251">
        <f>+AT82-AR82</f>
        <v>1185</v>
      </c>
      <c r="AT82" s="251">
        <f>+AT7</f>
        <v>2821</v>
      </c>
      <c r="AU82" s="251">
        <f>AV82-AT82</f>
        <v>1114</v>
      </c>
      <c r="AV82" s="251">
        <f>+AV7</f>
        <v>3935</v>
      </c>
      <c r="AW82" s="251">
        <f>+AX82-AV82</f>
        <v>1657</v>
      </c>
      <c r="AX82" s="247">
        <f>+AX7</f>
        <v>5592</v>
      </c>
      <c r="AZ82" s="260">
        <f>+AZ7</f>
        <v>1636</v>
      </c>
      <c r="BA82" s="251">
        <f>+BB82-AZ82</f>
        <v>1185</v>
      </c>
      <c r="BB82" s="251">
        <f>+BB7</f>
        <v>2821</v>
      </c>
      <c r="BC82" s="251">
        <f>+BD82-BB82</f>
        <v>1114</v>
      </c>
      <c r="BD82" s="251">
        <f>+BD7</f>
        <v>3935</v>
      </c>
      <c r="BE82" s="251">
        <v>0</v>
      </c>
      <c r="BF82" s="247">
        <f>+BF7</f>
        <v>5592</v>
      </c>
      <c r="BH82" s="260">
        <f>+BH7</f>
        <v>1657</v>
      </c>
      <c r="BI82" s="251">
        <f>+BJ82-BH82</f>
        <v>1257</v>
      </c>
      <c r="BJ82" s="251">
        <f>+BJ7</f>
        <v>2914</v>
      </c>
      <c r="BK82" s="251">
        <f>+BL82-BJ82</f>
        <v>1365</v>
      </c>
      <c r="BL82" s="251">
        <f>+BL7</f>
        <v>4279</v>
      </c>
      <c r="BM82" s="251">
        <f>+BN82-BL82</f>
        <v>1819</v>
      </c>
      <c r="BN82" s="455">
        <f>+BN7</f>
        <v>6098</v>
      </c>
      <c r="BP82" s="260">
        <f>+BP7</f>
        <v>1696</v>
      </c>
      <c r="BQ82" s="251">
        <f>+BR82-BP82</f>
        <v>-1696</v>
      </c>
      <c r="BR82" s="251">
        <f>+BR7</f>
        <v>0</v>
      </c>
      <c r="BS82" s="251">
        <f>+BT82-BR82</f>
        <v>0</v>
      </c>
      <c r="BT82" s="251">
        <f>+BT7</f>
        <v>0</v>
      </c>
      <c r="BU82" s="251">
        <f>+BV82-BT82</f>
        <v>0</v>
      </c>
      <c r="BV82" s="455">
        <f>+BV7</f>
        <v>0</v>
      </c>
    </row>
    <row r="83" spans="2:74" ht="12.75">
      <c r="B83" s="132"/>
      <c r="D83" s="233"/>
      <c r="E83" s="55"/>
      <c r="F83" s="225"/>
      <c r="G83" s="55"/>
      <c r="H83" s="225"/>
      <c r="I83" s="55"/>
      <c r="J83" s="83"/>
      <c r="L83" s="233"/>
      <c r="M83" s="55"/>
      <c r="N83" s="225"/>
      <c r="O83" s="55"/>
      <c r="P83" s="225"/>
      <c r="Q83" s="55"/>
      <c r="R83" s="83"/>
      <c r="T83" s="233"/>
      <c r="U83" s="55"/>
      <c r="V83" s="225"/>
      <c r="W83" s="55"/>
      <c r="X83" s="225"/>
      <c r="Y83" s="55"/>
      <c r="Z83" s="83"/>
      <c r="AB83" s="233"/>
      <c r="AC83" s="55"/>
      <c r="AD83" s="225"/>
      <c r="AE83" s="55"/>
      <c r="AF83" s="225"/>
      <c r="AG83" s="55"/>
      <c r="AH83" s="83"/>
      <c r="AJ83" s="233"/>
      <c r="AK83" s="55"/>
      <c r="AL83" s="225"/>
      <c r="AM83" s="55"/>
      <c r="AN83" s="225"/>
      <c r="AO83" s="55"/>
      <c r="AP83" s="83"/>
      <c r="AR83" s="233"/>
      <c r="AS83" s="55"/>
      <c r="AT83" s="225"/>
      <c r="AU83" s="55"/>
      <c r="AV83" s="225"/>
      <c r="AW83" s="55"/>
      <c r="AX83" s="83"/>
      <c r="AZ83" s="233"/>
      <c r="BA83" s="55"/>
      <c r="BB83" s="225"/>
      <c r="BC83" s="55"/>
      <c r="BD83" s="225"/>
      <c r="BE83" s="55"/>
      <c r="BF83" s="83"/>
      <c r="BH83" s="233"/>
      <c r="BI83" s="251"/>
      <c r="BJ83" s="225"/>
      <c r="BK83" s="55"/>
      <c r="BL83" s="225"/>
      <c r="BM83" s="55"/>
      <c r="BN83" s="240"/>
      <c r="BP83" s="233"/>
      <c r="BQ83" s="251"/>
      <c r="BR83" s="225"/>
      <c r="BS83" s="55"/>
      <c r="BT83" s="225"/>
      <c r="BU83" s="55"/>
      <c r="BV83" s="240"/>
    </row>
    <row r="84" spans="1:74" ht="13.5" customHeight="1">
      <c r="A84" s="58"/>
      <c r="B84" s="293" t="s">
        <v>357</v>
      </c>
      <c r="D84" s="167">
        <f>D18</f>
        <v>-132</v>
      </c>
      <c r="E84" s="24">
        <f>+F84-D84</f>
        <v>482</v>
      </c>
      <c r="F84" s="24">
        <f>F18</f>
        <v>350</v>
      </c>
      <c r="G84" s="24">
        <f>+H84-F84</f>
        <v>23</v>
      </c>
      <c r="H84" s="24">
        <f>H18</f>
        <v>373</v>
      </c>
      <c r="I84" s="24">
        <f>+J84-H84</f>
        <v>42</v>
      </c>
      <c r="J84" s="278">
        <f>J18</f>
        <v>415</v>
      </c>
      <c r="L84" s="167">
        <f>L18</f>
        <v>49</v>
      </c>
      <c r="M84" s="24">
        <f>+N84-L84</f>
        <v>69</v>
      </c>
      <c r="N84" s="24">
        <f>N18</f>
        <v>118</v>
      </c>
      <c r="O84" s="24">
        <f>+P84-N84</f>
        <v>115</v>
      </c>
      <c r="P84" s="24">
        <f>P18</f>
        <v>233</v>
      </c>
      <c r="Q84" s="24">
        <f>+R84-P84</f>
        <v>22</v>
      </c>
      <c r="R84" s="278">
        <f>R18</f>
        <v>255</v>
      </c>
      <c r="T84" s="288">
        <f>T18</f>
        <v>49</v>
      </c>
      <c r="U84" s="24">
        <f aca="true" t="shared" si="64" ref="U84:U91">+V84-T84</f>
        <v>69</v>
      </c>
      <c r="V84" s="253">
        <f>V18</f>
        <v>118</v>
      </c>
      <c r="W84" s="24">
        <f aca="true" t="shared" si="65" ref="W84:W91">+X84-V84</f>
        <v>115</v>
      </c>
      <c r="X84" s="253">
        <f>X18</f>
        <v>233</v>
      </c>
      <c r="Y84" s="24">
        <f aca="true" t="shared" si="66" ref="Y84:Y91">+Z84-X84</f>
        <v>22</v>
      </c>
      <c r="Z84" s="247">
        <f>Z18</f>
        <v>255</v>
      </c>
      <c r="AB84" s="288">
        <f>AB18</f>
        <v>-37</v>
      </c>
      <c r="AC84" s="24">
        <f aca="true" t="shared" si="67" ref="AC84:AC91">+AD84-AB84</f>
        <v>79</v>
      </c>
      <c r="AD84" s="253">
        <f>AD18</f>
        <v>42</v>
      </c>
      <c r="AE84" s="24">
        <f aca="true" t="shared" si="68" ref="AE84:AE91">+AF84-AD84</f>
        <v>12</v>
      </c>
      <c r="AF84" s="253">
        <f>AF18</f>
        <v>54</v>
      </c>
      <c r="AG84" s="24">
        <f aca="true" t="shared" si="69" ref="AG84:AG91">+AH84-AF84</f>
        <v>1025</v>
      </c>
      <c r="AH84" s="247">
        <f>AH18</f>
        <v>1079</v>
      </c>
      <c r="AJ84" s="288">
        <f>AJ18</f>
        <v>147</v>
      </c>
      <c r="AK84" s="24">
        <f aca="true" t="shared" si="70" ref="AK84:AK91">+AL84-AJ84</f>
        <v>113</v>
      </c>
      <c r="AL84" s="253">
        <f>+AL18</f>
        <v>260</v>
      </c>
      <c r="AM84" s="24">
        <f>AN84-AL84</f>
        <v>107</v>
      </c>
      <c r="AN84" s="253">
        <f>+AN18</f>
        <v>367</v>
      </c>
      <c r="AO84" s="24">
        <f>+AP84-AN84</f>
        <v>138</v>
      </c>
      <c r="AP84" s="247">
        <f>+AP18</f>
        <v>505</v>
      </c>
      <c r="AR84" s="288">
        <f>+AR18</f>
        <v>181</v>
      </c>
      <c r="AS84" s="24">
        <f>+AT84-AR84</f>
        <v>166</v>
      </c>
      <c r="AT84" s="253">
        <f>+AT18</f>
        <v>347</v>
      </c>
      <c r="AU84" s="24">
        <f>AV84-AT84</f>
        <v>133</v>
      </c>
      <c r="AV84" s="253">
        <f>+AV18</f>
        <v>480</v>
      </c>
      <c r="AW84" s="24">
        <f>+AX84-AV84</f>
        <v>157</v>
      </c>
      <c r="AX84" s="247">
        <f>+AX18</f>
        <v>637</v>
      </c>
      <c r="AZ84" s="288">
        <f>+AZ18</f>
        <v>181</v>
      </c>
      <c r="BA84" s="24">
        <f>+BB84-AZ84</f>
        <v>166</v>
      </c>
      <c r="BB84" s="253">
        <f>+BB18</f>
        <v>347</v>
      </c>
      <c r="BC84" s="24">
        <f>+BD84-BB84</f>
        <v>133</v>
      </c>
      <c r="BD84" s="253">
        <f>+BD18</f>
        <v>480</v>
      </c>
      <c r="BE84" s="24">
        <v>0</v>
      </c>
      <c r="BF84" s="247">
        <f>+BF18</f>
        <v>637</v>
      </c>
      <c r="BH84" s="886"/>
      <c r="BI84" s="887"/>
      <c r="BJ84" s="888"/>
      <c r="BK84" s="887"/>
      <c r="BL84" s="888"/>
      <c r="BM84" s="887"/>
      <c r="BN84" s="889"/>
      <c r="BP84" s="886"/>
      <c r="BQ84" s="888"/>
      <c r="BR84" s="888"/>
      <c r="BS84" s="888"/>
      <c r="BT84" s="888"/>
      <c r="BU84" s="888"/>
      <c r="BV84" s="889"/>
    </row>
    <row r="85" spans="1:74" ht="13.5" customHeight="1">
      <c r="A85" s="58"/>
      <c r="B85" s="159" t="s">
        <v>489</v>
      </c>
      <c r="D85" s="161"/>
      <c r="E85" s="160"/>
      <c r="F85" s="160"/>
      <c r="G85" s="160"/>
      <c r="H85" s="160"/>
      <c r="I85" s="160"/>
      <c r="J85" s="261"/>
      <c r="L85" s="161"/>
      <c r="M85" s="160"/>
      <c r="N85" s="160"/>
      <c r="O85" s="160"/>
      <c r="P85" s="160"/>
      <c r="Q85" s="160"/>
      <c r="R85" s="261"/>
      <c r="T85" s="262"/>
      <c r="U85" s="160"/>
      <c r="V85" s="19"/>
      <c r="W85" s="160"/>
      <c r="X85" s="19"/>
      <c r="Y85" s="160"/>
      <c r="Z85" s="78"/>
      <c r="AB85" s="262"/>
      <c r="AC85" s="160"/>
      <c r="AD85" s="19"/>
      <c r="AE85" s="160"/>
      <c r="AF85" s="19"/>
      <c r="AG85" s="160"/>
      <c r="AH85" s="78"/>
      <c r="AJ85" s="262"/>
      <c r="AK85" s="160"/>
      <c r="AL85" s="19"/>
      <c r="AM85" s="160"/>
      <c r="AN85" s="19"/>
      <c r="AO85" s="160"/>
      <c r="AP85" s="78"/>
      <c r="AR85" s="262"/>
      <c r="AS85" s="160"/>
      <c r="AT85" s="19"/>
      <c r="AU85" s="160"/>
      <c r="AV85" s="19"/>
      <c r="AW85" s="160"/>
      <c r="AX85" s="78"/>
      <c r="AZ85" s="262"/>
      <c r="BA85" s="160"/>
      <c r="BB85" s="19"/>
      <c r="BC85" s="160"/>
      <c r="BD85" s="19"/>
      <c r="BE85" s="160"/>
      <c r="BF85" s="78"/>
      <c r="BH85" s="262"/>
      <c r="BI85" s="251"/>
      <c r="BJ85" s="19"/>
      <c r="BK85" s="160"/>
      <c r="BL85" s="19"/>
      <c r="BM85" s="160"/>
      <c r="BN85" s="78"/>
      <c r="BP85" s="103"/>
      <c r="BV85" s="95"/>
    </row>
    <row r="86" spans="1:74" ht="13.5" customHeight="1">
      <c r="A86" s="58"/>
      <c r="B86" s="159" t="s">
        <v>475</v>
      </c>
      <c r="D86" s="161">
        <f aca="true" t="shared" si="71" ref="D86:J87">+D20</f>
        <v>106</v>
      </c>
      <c r="E86" s="160">
        <f t="shared" si="71"/>
        <v>108</v>
      </c>
      <c r="F86" s="160">
        <f t="shared" si="71"/>
        <v>214</v>
      </c>
      <c r="G86" s="160">
        <f t="shared" si="71"/>
        <v>119</v>
      </c>
      <c r="H86" s="160">
        <f t="shared" si="71"/>
        <v>333</v>
      </c>
      <c r="I86" s="160">
        <f t="shared" si="71"/>
        <v>111</v>
      </c>
      <c r="J86" s="261">
        <f t="shared" si="71"/>
        <v>444</v>
      </c>
      <c r="L86" s="161">
        <f aca="true" t="shared" si="72" ref="L86:R87">+L20</f>
        <v>103</v>
      </c>
      <c r="M86" s="160">
        <f t="shared" si="72"/>
        <v>113</v>
      </c>
      <c r="N86" s="160">
        <f t="shared" si="72"/>
        <v>216</v>
      </c>
      <c r="O86" s="160">
        <f t="shared" si="72"/>
        <v>102</v>
      </c>
      <c r="P86" s="160">
        <f t="shared" si="72"/>
        <v>318</v>
      </c>
      <c r="Q86" s="160">
        <f t="shared" si="72"/>
        <v>109</v>
      </c>
      <c r="R86" s="261">
        <f t="shared" si="72"/>
        <v>427</v>
      </c>
      <c r="T86" s="262">
        <f>T20</f>
        <v>103</v>
      </c>
      <c r="U86" s="160">
        <f t="shared" si="64"/>
        <v>113</v>
      </c>
      <c r="V86" s="19">
        <f>V20</f>
        <v>216</v>
      </c>
      <c r="W86" s="160">
        <f t="shared" si="65"/>
        <v>102</v>
      </c>
      <c r="X86" s="19">
        <f>X20</f>
        <v>318</v>
      </c>
      <c r="Y86" s="160">
        <f t="shared" si="66"/>
        <v>109</v>
      </c>
      <c r="Z86" s="78">
        <f>Z20</f>
        <v>427</v>
      </c>
      <c r="AB86" s="262">
        <f>AB20</f>
        <v>65</v>
      </c>
      <c r="AC86" s="160">
        <f t="shared" si="67"/>
        <v>80</v>
      </c>
      <c r="AD86" s="19">
        <f>AD20</f>
        <v>145</v>
      </c>
      <c r="AE86" s="160">
        <f t="shared" si="68"/>
        <v>47</v>
      </c>
      <c r="AF86" s="19">
        <f>AF20</f>
        <v>192</v>
      </c>
      <c r="AG86" s="160">
        <f t="shared" si="69"/>
        <v>51</v>
      </c>
      <c r="AH86" s="78">
        <f>AH20</f>
        <v>243</v>
      </c>
      <c r="AJ86" s="262">
        <f>AJ20</f>
        <v>37</v>
      </c>
      <c r="AK86" s="160">
        <f t="shared" si="70"/>
        <v>46</v>
      </c>
      <c r="AL86" s="19">
        <f>+AL20</f>
        <v>83</v>
      </c>
      <c r="AM86" s="160">
        <f>AN86-AL86</f>
        <v>69</v>
      </c>
      <c r="AN86" s="19">
        <f>+AN20</f>
        <v>152</v>
      </c>
      <c r="AO86" s="160">
        <f>+AP86-AN86</f>
        <v>30</v>
      </c>
      <c r="AP86" s="78">
        <f>+AP20</f>
        <v>182</v>
      </c>
      <c r="AR86" s="262">
        <f>+AR20</f>
        <v>60</v>
      </c>
      <c r="AS86" s="160">
        <f>+AT86-AR86</f>
        <v>83</v>
      </c>
      <c r="AT86" s="19">
        <f>+AT20</f>
        <v>143</v>
      </c>
      <c r="AU86" s="160">
        <f>AV86-AT86</f>
        <v>60</v>
      </c>
      <c r="AV86" s="19">
        <f>+AV20</f>
        <v>203</v>
      </c>
      <c r="AW86" s="160">
        <f>+AX86-AV86</f>
        <v>60</v>
      </c>
      <c r="AX86" s="78">
        <f>+AX20</f>
        <v>263</v>
      </c>
      <c r="AZ86" s="262">
        <f>+AZ20</f>
        <v>60</v>
      </c>
      <c r="BA86" s="160">
        <f>+BB86-AZ86</f>
        <v>83</v>
      </c>
      <c r="BB86" s="19">
        <f>+BB20</f>
        <v>143</v>
      </c>
      <c r="BC86" s="160">
        <f>+BD86-BB86</f>
        <v>60</v>
      </c>
      <c r="BD86" s="19">
        <f>+BD20</f>
        <v>203</v>
      </c>
      <c r="BE86" s="160">
        <v>0</v>
      </c>
      <c r="BF86" s="78">
        <f>+BF20</f>
        <v>263</v>
      </c>
      <c r="BH86" s="262">
        <f>+BH20</f>
        <v>73</v>
      </c>
      <c r="BI86" s="160">
        <f>+BJ86-BH86</f>
        <v>96</v>
      </c>
      <c r="BJ86" s="19">
        <f>+BJ20</f>
        <v>169</v>
      </c>
      <c r="BK86" s="160">
        <f>+BL86-BJ86</f>
        <v>114</v>
      </c>
      <c r="BL86" s="19">
        <f>+BL20</f>
        <v>283</v>
      </c>
      <c r="BM86" s="160">
        <f>+BN86-BL86</f>
        <v>84</v>
      </c>
      <c r="BN86" s="78">
        <f>BN20</f>
        <v>367</v>
      </c>
      <c r="BP86" s="262">
        <f>+BP20</f>
        <v>77</v>
      </c>
      <c r="BQ86" s="160">
        <f>+BR86-BP86</f>
        <v>-77</v>
      </c>
      <c r="BR86" s="19">
        <f>+BR20</f>
        <v>0</v>
      </c>
      <c r="BS86" s="160">
        <f>+BT86-BR86</f>
        <v>0</v>
      </c>
      <c r="BT86" s="210"/>
      <c r="BU86" s="160">
        <f>+BV86-BT86</f>
        <v>0</v>
      </c>
      <c r="BV86" s="78">
        <f>BV20</f>
        <v>0</v>
      </c>
    </row>
    <row r="87" spans="1:74" ht="13.5" customHeight="1">
      <c r="A87" s="58"/>
      <c r="B87" s="159" t="s">
        <v>350</v>
      </c>
      <c r="D87" s="161">
        <f t="shared" si="71"/>
        <v>-238</v>
      </c>
      <c r="E87" s="160">
        <f t="shared" si="71"/>
        <v>374</v>
      </c>
      <c r="F87" s="160">
        <f t="shared" si="71"/>
        <v>136</v>
      </c>
      <c r="G87" s="160">
        <f t="shared" si="71"/>
        <v>-96</v>
      </c>
      <c r="H87" s="160">
        <f t="shared" si="71"/>
        <v>40</v>
      </c>
      <c r="I87" s="160">
        <f t="shared" si="71"/>
        <v>-69</v>
      </c>
      <c r="J87" s="261">
        <f t="shared" si="71"/>
        <v>-29</v>
      </c>
      <c r="L87" s="161">
        <f t="shared" si="72"/>
        <v>-54</v>
      </c>
      <c r="M87" s="160">
        <f t="shared" si="72"/>
        <v>-44</v>
      </c>
      <c r="N87" s="160">
        <f t="shared" si="72"/>
        <v>-98</v>
      </c>
      <c r="O87" s="160">
        <f t="shared" si="72"/>
        <v>13</v>
      </c>
      <c r="P87" s="160">
        <f t="shared" si="72"/>
        <v>-85</v>
      </c>
      <c r="Q87" s="160">
        <f t="shared" si="72"/>
        <v>-87</v>
      </c>
      <c r="R87" s="261">
        <f t="shared" si="72"/>
        <v>-172</v>
      </c>
      <c r="T87" s="262">
        <f>T21</f>
        <v>-54</v>
      </c>
      <c r="U87" s="160">
        <f t="shared" si="64"/>
        <v>-44</v>
      </c>
      <c r="V87" s="19">
        <f>V21</f>
        <v>-98</v>
      </c>
      <c r="W87" s="160">
        <f t="shared" si="65"/>
        <v>13</v>
      </c>
      <c r="X87" s="19">
        <f>X21</f>
        <v>-85</v>
      </c>
      <c r="Y87" s="160">
        <f t="shared" si="66"/>
        <v>-87</v>
      </c>
      <c r="Z87" s="78">
        <f>Z21</f>
        <v>-172</v>
      </c>
      <c r="AB87" s="262">
        <f>AB21</f>
        <v>-102</v>
      </c>
      <c r="AC87" s="160">
        <f t="shared" si="67"/>
        <v>-1</v>
      </c>
      <c r="AD87" s="19">
        <f>AD21</f>
        <v>-103</v>
      </c>
      <c r="AE87" s="160">
        <f t="shared" si="68"/>
        <v>-35</v>
      </c>
      <c r="AF87" s="19">
        <f>AF21</f>
        <v>-138</v>
      </c>
      <c r="AG87" s="160">
        <f t="shared" si="69"/>
        <v>974</v>
      </c>
      <c r="AH87" s="78">
        <f>AH21</f>
        <v>836</v>
      </c>
      <c r="AJ87" s="262">
        <f>AJ21</f>
        <v>110</v>
      </c>
      <c r="AK87" s="160">
        <f t="shared" si="70"/>
        <v>67</v>
      </c>
      <c r="AL87" s="19">
        <f>+AL21</f>
        <v>177</v>
      </c>
      <c r="AM87" s="160">
        <f>AN87-AL87</f>
        <v>38</v>
      </c>
      <c r="AN87" s="19">
        <f>+AN21</f>
        <v>215</v>
      </c>
      <c r="AO87" s="160">
        <f>+AP87-AN87</f>
        <v>108</v>
      </c>
      <c r="AP87" s="78">
        <f>+AP21</f>
        <v>323</v>
      </c>
      <c r="AR87" s="262">
        <f>+AR21</f>
        <v>121</v>
      </c>
      <c r="AS87" s="160">
        <f>+AT87-AR87</f>
        <v>83</v>
      </c>
      <c r="AT87" s="19">
        <f>+AT21</f>
        <v>204</v>
      </c>
      <c r="AU87" s="160">
        <f>AV87-AT87</f>
        <v>73</v>
      </c>
      <c r="AV87" s="19">
        <f>+AV21</f>
        <v>277</v>
      </c>
      <c r="AW87" s="160">
        <f>+AX87-AV87</f>
        <v>97</v>
      </c>
      <c r="AX87" s="78">
        <f>+AX21</f>
        <v>374</v>
      </c>
      <c r="AZ87" s="262">
        <f>+AZ21</f>
        <v>121</v>
      </c>
      <c r="BA87" s="160">
        <f>+BB87-AZ87</f>
        <v>83</v>
      </c>
      <c r="BB87" s="19">
        <f>+BB21</f>
        <v>204</v>
      </c>
      <c r="BC87" s="160">
        <f>+BD87-BB87</f>
        <v>73</v>
      </c>
      <c r="BD87" s="19">
        <f>+BD21</f>
        <v>277</v>
      </c>
      <c r="BE87" s="160">
        <v>0</v>
      </c>
      <c r="BF87" s="78">
        <f>+BF21</f>
        <v>374</v>
      </c>
      <c r="BH87" s="262">
        <f>+BH21</f>
        <v>60</v>
      </c>
      <c r="BI87" s="160">
        <f>+BJ87-BH87</f>
        <v>50</v>
      </c>
      <c r="BJ87" s="19">
        <f>+BJ21</f>
        <v>110</v>
      </c>
      <c r="BK87" s="160">
        <f>+BL87-BJ87</f>
        <v>51</v>
      </c>
      <c r="BL87" s="19">
        <f>+BL21</f>
        <v>161</v>
      </c>
      <c r="BM87" s="160">
        <f>+BN87-BL87</f>
        <v>42</v>
      </c>
      <c r="BN87" s="78">
        <f>BN21</f>
        <v>203</v>
      </c>
      <c r="BP87" s="262">
        <f>+BP21</f>
        <v>80</v>
      </c>
      <c r="BQ87" s="160">
        <f>+BR87-BP87</f>
        <v>-80</v>
      </c>
      <c r="BR87" s="19">
        <f>+BR21</f>
        <v>0</v>
      </c>
      <c r="BS87" s="160">
        <f>+BT87-BR87</f>
        <v>0</v>
      </c>
      <c r="BT87" s="210"/>
      <c r="BU87" s="160">
        <f>+BV87-BT87</f>
        <v>0</v>
      </c>
      <c r="BV87" s="78">
        <f>BV21</f>
        <v>0</v>
      </c>
    </row>
    <row r="88" spans="1:74" ht="13.5" customHeight="1">
      <c r="A88" s="58"/>
      <c r="B88" s="135" t="s">
        <v>1</v>
      </c>
      <c r="D88" s="226">
        <v>-127</v>
      </c>
      <c r="E88" s="55">
        <f>+F88-D88</f>
        <v>488</v>
      </c>
      <c r="F88" s="223">
        <v>361</v>
      </c>
      <c r="G88" s="55">
        <f>+H88-F88</f>
        <v>27</v>
      </c>
      <c r="H88" s="223">
        <v>388</v>
      </c>
      <c r="I88" s="55">
        <f>+J88-H88</f>
        <v>37</v>
      </c>
      <c r="J88" s="259">
        <v>425</v>
      </c>
      <c r="L88" s="226">
        <v>52</v>
      </c>
      <c r="M88" s="55">
        <f>+N88-L88</f>
        <v>74</v>
      </c>
      <c r="N88" s="223">
        <v>126</v>
      </c>
      <c r="O88" s="55">
        <f>+P88-N88</f>
        <v>125</v>
      </c>
      <c r="P88" s="223">
        <v>251</v>
      </c>
      <c r="Q88" s="55">
        <f>+R88-P88</f>
        <v>42</v>
      </c>
      <c r="R88" s="259">
        <v>293</v>
      </c>
      <c r="T88" s="265">
        <v>52</v>
      </c>
      <c r="U88" s="264">
        <f>+V88-T88</f>
        <v>74</v>
      </c>
      <c r="V88" s="223">
        <v>126</v>
      </c>
      <c r="W88" s="264">
        <f>+X88-V88</f>
        <v>125</v>
      </c>
      <c r="X88" s="223">
        <v>251</v>
      </c>
      <c r="Y88" s="264">
        <f>+Z88-X88</f>
        <v>42</v>
      </c>
      <c r="Z88" s="259">
        <v>293</v>
      </c>
      <c r="AB88" s="265">
        <v>-23</v>
      </c>
      <c r="AC88" s="23">
        <f>+AD88-AB88</f>
        <v>70</v>
      </c>
      <c r="AD88" s="223">
        <v>47</v>
      </c>
      <c r="AE88" s="23">
        <f>+AF88-AD88</f>
        <v>-31</v>
      </c>
      <c r="AF88" s="223">
        <v>16</v>
      </c>
      <c r="AG88" s="23">
        <f>+AH88-AF88</f>
        <v>979</v>
      </c>
      <c r="AH88" s="259">
        <v>995</v>
      </c>
      <c r="AJ88" s="265">
        <v>119</v>
      </c>
      <c r="AK88" s="23">
        <f>+AL88-AJ88</f>
        <v>74</v>
      </c>
      <c r="AL88" s="223">
        <v>193</v>
      </c>
      <c r="AM88" s="23">
        <f>AN88-AL88</f>
        <v>67</v>
      </c>
      <c r="AN88" s="223">
        <v>260</v>
      </c>
      <c r="AO88" s="23">
        <f>+AP88-AN88</f>
        <v>101</v>
      </c>
      <c r="AP88" s="259">
        <v>361</v>
      </c>
      <c r="AR88" s="265">
        <v>175</v>
      </c>
      <c r="AS88" s="23">
        <f>+AT88-AR88</f>
        <v>161</v>
      </c>
      <c r="AT88" s="223">
        <v>336</v>
      </c>
      <c r="AU88" s="23">
        <f>AV88-AT88</f>
        <v>126</v>
      </c>
      <c r="AV88" s="223">
        <v>462</v>
      </c>
      <c r="AW88" s="23">
        <f>+AX88-AV88</f>
        <v>151</v>
      </c>
      <c r="AX88" s="259">
        <v>613</v>
      </c>
      <c r="AZ88" s="265">
        <v>175</v>
      </c>
      <c r="BA88" s="23">
        <f>+BB88-AZ88</f>
        <v>161</v>
      </c>
      <c r="BB88" s="223">
        <v>336</v>
      </c>
      <c r="BC88" s="23">
        <f>+BD88-BB88</f>
        <v>126</v>
      </c>
      <c r="BD88" s="223">
        <v>462</v>
      </c>
      <c r="BE88" s="23">
        <f>+BF88-BD88</f>
        <v>151</v>
      </c>
      <c r="BF88" s="259">
        <v>613</v>
      </c>
      <c r="BH88" s="288">
        <f>+BH18</f>
        <v>133</v>
      </c>
      <c r="BI88" s="251">
        <f>+BJ88-BH88</f>
        <v>146</v>
      </c>
      <c r="BJ88" s="253">
        <f>+BJ18</f>
        <v>279</v>
      </c>
      <c r="BK88" s="251">
        <f>+BL88-BJ88</f>
        <v>165</v>
      </c>
      <c r="BL88" s="253">
        <f>+BL18</f>
        <v>444</v>
      </c>
      <c r="BM88" s="251">
        <f>+BN88-BL88</f>
        <v>126</v>
      </c>
      <c r="BN88" s="247">
        <f>+BN18</f>
        <v>570</v>
      </c>
      <c r="BP88" s="288">
        <f>+BP18</f>
        <v>157</v>
      </c>
      <c r="BQ88" s="251">
        <f>+BR88-BP88</f>
        <v>-157</v>
      </c>
      <c r="BR88" s="253">
        <f>+BR18</f>
        <v>0</v>
      </c>
      <c r="BS88" s="251">
        <f>+BT88-BR88</f>
        <v>0</v>
      </c>
      <c r="BT88" s="253">
        <f>+BT18</f>
        <v>0</v>
      </c>
      <c r="BU88" s="251">
        <f>+BV88-BT88</f>
        <v>0</v>
      </c>
      <c r="BV88" s="247">
        <f>+BV18</f>
        <v>0</v>
      </c>
    </row>
    <row r="89" spans="1:74" ht="13.5" customHeight="1">
      <c r="A89" s="58"/>
      <c r="B89" s="135"/>
      <c r="D89" s="226"/>
      <c r="E89" s="55"/>
      <c r="F89" s="223"/>
      <c r="G89" s="55"/>
      <c r="H89" s="223"/>
      <c r="I89" s="55"/>
      <c r="J89" s="259"/>
      <c r="L89" s="226"/>
      <c r="M89" s="55"/>
      <c r="N89" s="223"/>
      <c r="O89" s="55"/>
      <c r="P89" s="223"/>
      <c r="Q89" s="55"/>
      <c r="R89" s="259"/>
      <c r="T89" s="265"/>
      <c r="U89" s="264"/>
      <c r="V89" s="223"/>
      <c r="W89" s="264"/>
      <c r="X89" s="223"/>
      <c r="Y89" s="264"/>
      <c r="Z89" s="259"/>
      <c r="AB89" s="265"/>
      <c r="AC89" s="23"/>
      <c r="AD89" s="223"/>
      <c r="AE89" s="23"/>
      <c r="AF89" s="223"/>
      <c r="AG89" s="23"/>
      <c r="AH89" s="259"/>
      <c r="AJ89" s="265"/>
      <c r="AK89" s="23"/>
      <c r="AL89" s="223"/>
      <c r="AM89" s="23"/>
      <c r="AN89" s="223"/>
      <c r="AO89" s="23"/>
      <c r="AP89" s="259"/>
      <c r="AR89" s="265"/>
      <c r="AS89" s="23"/>
      <c r="AT89" s="223"/>
      <c r="AU89" s="23"/>
      <c r="AV89" s="223"/>
      <c r="AW89" s="23"/>
      <c r="AX89" s="259"/>
      <c r="AZ89" s="265"/>
      <c r="BA89" s="23"/>
      <c r="BB89" s="223"/>
      <c r="BC89" s="23"/>
      <c r="BD89" s="223"/>
      <c r="BE89" s="23"/>
      <c r="BF89" s="259"/>
      <c r="BH89" s="265"/>
      <c r="BI89" s="23"/>
      <c r="BJ89" s="223"/>
      <c r="BK89" s="23"/>
      <c r="BL89" s="223"/>
      <c r="BM89" s="23"/>
      <c r="BN89" s="259"/>
      <c r="BP89" s="265"/>
      <c r="BQ89" s="23"/>
      <c r="BR89" s="223"/>
      <c r="BS89" s="23"/>
      <c r="BT89" s="223"/>
      <c r="BU89" s="23"/>
      <c r="BV89" s="259"/>
    </row>
    <row r="90" spans="1:74" s="58" customFormat="1" ht="12.75">
      <c r="A90" s="57"/>
      <c r="B90" s="133" t="s">
        <v>275</v>
      </c>
      <c r="D90" s="218">
        <v>-7</v>
      </c>
      <c r="E90" s="60">
        <f>+F90-D90</f>
        <v>3</v>
      </c>
      <c r="F90" s="212">
        <v>-4</v>
      </c>
      <c r="G90" s="60">
        <f>+H90-F90</f>
        <v>-2</v>
      </c>
      <c r="H90" s="212">
        <v>-6</v>
      </c>
      <c r="I90" s="60">
        <f>+J90-H90</f>
        <v>-25</v>
      </c>
      <c r="J90" s="237">
        <v>-31</v>
      </c>
      <c r="L90" s="218">
        <v>136</v>
      </c>
      <c r="M90" s="60">
        <f>+N90-L90</f>
        <v>20</v>
      </c>
      <c r="N90" s="212">
        <v>156</v>
      </c>
      <c r="O90" s="60">
        <f>+P90-N90</f>
        <v>-39</v>
      </c>
      <c r="P90" s="212">
        <v>117</v>
      </c>
      <c r="Q90" s="60">
        <f>+R90-P90</f>
        <v>127</v>
      </c>
      <c r="R90" s="237">
        <v>244</v>
      </c>
      <c r="T90" s="218">
        <v>136</v>
      </c>
      <c r="U90" s="60">
        <f t="shared" si="64"/>
        <v>20</v>
      </c>
      <c r="V90" s="212">
        <v>156</v>
      </c>
      <c r="W90" s="60">
        <f t="shared" si="65"/>
        <v>-39</v>
      </c>
      <c r="X90" s="212">
        <v>117</v>
      </c>
      <c r="Y90" s="60">
        <f t="shared" si="66"/>
        <v>127</v>
      </c>
      <c r="Z90" s="237">
        <v>244</v>
      </c>
      <c r="AB90" s="218">
        <v>-17</v>
      </c>
      <c r="AC90" s="60">
        <f t="shared" si="67"/>
        <v>-37</v>
      </c>
      <c r="AD90" s="212">
        <v>-54</v>
      </c>
      <c r="AE90" s="160">
        <f t="shared" si="68"/>
        <v>90</v>
      </c>
      <c r="AF90" s="212">
        <v>36</v>
      </c>
      <c r="AG90" s="160">
        <f t="shared" si="69"/>
        <v>141</v>
      </c>
      <c r="AH90" s="237">
        <v>177</v>
      </c>
      <c r="AJ90" s="218">
        <v>-90</v>
      </c>
      <c r="AK90" s="60">
        <f t="shared" si="70"/>
        <v>13</v>
      </c>
      <c r="AL90" s="212">
        <v>-77</v>
      </c>
      <c r="AM90" s="160">
        <f aca="true" t="shared" si="73" ref="AM90:AM96">AN90-AL90</f>
        <v>-61</v>
      </c>
      <c r="AN90" s="212">
        <v>-138</v>
      </c>
      <c r="AO90" s="160">
        <f aca="true" t="shared" si="74" ref="AO90:AO96">+AP90-AN90</f>
        <v>-39</v>
      </c>
      <c r="AP90" s="237">
        <v>-177</v>
      </c>
      <c r="AR90" s="311" t="s">
        <v>507</v>
      </c>
      <c r="AS90" s="112" t="s">
        <v>507</v>
      </c>
      <c r="AT90" s="212">
        <v>-166</v>
      </c>
      <c r="AU90" s="112" t="s">
        <v>507</v>
      </c>
      <c r="AV90" s="337" t="s">
        <v>507</v>
      </c>
      <c r="AW90" s="112" t="s">
        <v>507</v>
      </c>
      <c r="AX90" s="237">
        <v>-225</v>
      </c>
      <c r="AZ90" s="311" t="s">
        <v>507</v>
      </c>
      <c r="BA90" s="112" t="s">
        <v>507</v>
      </c>
      <c r="BB90" s="212">
        <v>-166</v>
      </c>
      <c r="BC90" s="112" t="s">
        <v>507</v>
      </c>
      <c r="BD90" s="171" t="s">
        <v>507</v>
      </c>
      <c r="BE90" s="112" t="s">
        <v>507</v>
      </c>
      <c r="BF90" s="495">
        <v>-225</v>
      </c>
      <c r="BH90" s="311" t="s">
        <v>507</v>
      </c>
      <c r="BI90" s="112" t="s">
        <v>507</v>
      </c>
      <c r="BJ90" s="212">
        <v>0</v>
      </c>
      <c r="BK90" s="112" t="s">
        <v>507</v>
      </c>
      <c r="BL90" s="337" t="s">
        <v>507</v>
      </c>
      <c r="BM90" s="112" t="s">
        <v>507</v>
      </c>
      <c r="BN90" s="237">
        <v>-5</v>
      </c>
      <c r="BP90" s="311" t="s">
        <v>507</v>
      </c>
      <c r="BQ90" s="112" t="s">
        <v>507</v>
      </c>
      <c r="BR90" s="212"/>
      <c r="BS90" s="112" t="s">
        <v>507</v>
      </c>
      <c r="BT90" s="337"/>
      <c r="BU90" s="112" t="s">
        <v>507</v>
      </c>
      <c r="BV90" s="237"/>
    </row>
    <row r="91" spans="1:74" s="58" customFormat="1" ht="12.75">
      <c r="A91" s="57"/>
      <c r="B91" s="168" t="s">
        <v>366</v>
      </c>
      <c r="D91" s="218">
        <v>-56</v>
      </c>
      <c r="E91" s="60">
        <f>+F91-D91</f>
        <v>-55</v>
      </c>
      <c r="F91" s="212">
        <v>-111</v>
      </c>
      <c r="G91" s="60">
        <f>+H91-F91</f>
        <v>-59</v>
      </c>
      <c r="H91" s="212">
        <v>-170</v>
      </c>
      <c r="I91" s="60">
        <f>+J91-H91</f>
        <v>-112</v>
      </c>
      <c r="J91" s="237">
        <v>-282</v>
      </c>
      <c r="L91" s="218">
        <v>-68</v>
      </c>
      <c r="M91" s="60">
        <f>+N91-L91</f>
        <v>-57</v>
      </c>
      <c r="N91" s="212">
        <v>-125</v>
      </c>
      <c r="O91" s="60">
        <f>+P91-N91</f>
        <v>-64</v>
      </c>
      <c r="P91" s="212">
        <v>-189</v>
      </c>
      <c r="Q91" s="60">
        <f>+R91-P91</f>
        <v>-92</v>
      </c>
      <c r="R91" s="237">
        <v>-281</v>
      </c>
      <c r="T91" s="218">
        <v>-68</v>
      </c>
      <c r="U91" s="60">
        <f t="shared" si="64"/>
        <v>-57</v>
      </c>
      <c r="V91" s="212">
        <v>-125</v>
      </c>
      <c r="W91" s="60">
        <f t="shared" si="65"/>
        <v>-64</v>
      </c>
      <c r="X91" s="212">
        <v>-189</v>
      </c>
      <c r="Y91" s="60">
        <f t="shared" si="66"/>
        <v>-92</v>
      </c>
      <c r="Z91" s="237">
        <v>-281</v>
      </c>
      <c r="AB91" s="218">
        <v>-90</v>
      </c>
      <c r="AC91" s="60">
        <f t="shared" si="67"/>
        <v>-80</v>
      </c>
      <c r="AD91" s="212">
        <v>-170</v>
      </c>
      <c r="AE91" s="60">
        <f t="shared" si="68"/>
        <v>-90</v>
      </c>
      <c r="AF91" s="212">
        <v>-260</v>
      </c>
      <c r="AG91" s="60">
        <f t="shared" si="69"/>
        <v>-141</v>
      </c>
      <c r="AH91" s="237">
        <v>-401</v>
      </c>
      <c r="AJ91" s="218">
        <v>-69</v>
      </c>
      <c r="AK91" s="60">
        <f t="shared" si="70"/>
        <v>-66</v>
      </c>
      <c r="AL91" s="212">
        <v>-135</v>
      </c>
      <c r="AM91" s="60">
        <f t="shared" si="73"/>
        <v>-65</v>
      </c>
      <c r="AN91" s="212">
        <v>-200</v>
      </c>
      <c r="AO91" s="60">
        <f t="shared" si="74"/>
        <v>-59</v>
      </c>
      <c r="AP91" s="237">
        <v>-259</v>
      </c>
      <c r="AR91" s="311" t="s">
        <v>507</v>
      </c>
      <c r="AS91" s="112" t="s">
        <v>507</v>
      </c>
      <c r="AT91" s="212">
        <v>-124</v>
      </c>
      <c r="AU91" s="112" t="s">
        <v>507</v>
      </c>
      <c r="AV91" s="337" t="s">
        <v>507</v>
      </c>
      <c r="AW91" s="112" t="s">
        <v>507</v>
      </c>
      <c r="AX91" s="237">
        <v>-252</v>
      </c>
      <c r="AZ91" s="311" t="s">
        <v>507</v>
      </c>
      <c r="BA91" s="112" t="s">
        <v>507</v>
      </c>
      <c r="BB91" s="212">
        <v>-124</v>
      </c>
      <c r="BC91" s="112" t="s">
        <v>507</v>
      </c>
      <c r="BD91" s="171" t="s">
        <v>507</v>
      </c>
      <c r="BE91" s="112" t="s">
        <v>507</v>
      </c>
      <c r="BF91" s="495">
        <f>-252</f>
        <v>-252</v>
      </c>
      <c r="BH91" s="311" t="s">
        <v>507</v>
      </c>
      <c r="BI91" s="112" t="s">
        <v>507</v>
      </c>
      <c r="BJ91" s="212">
        <v>-122</v>
      </c>
      <c r="BK91" s="112" t="s">
        <v>507</v>
      </c>
      <c r="BL91" s="337" t="s">
        <v>581</v>
      </c>
      <c r="BM91" s="112" t="s">
        <v>507</v>
      </c>
      <c r="BN91" s="237">
        <f>-227</f>
        <v>-227</v>
      </c>
      <c r="BP91" s="311" t="s">
        <v>507</v>
      </c>
      <c r="BQ91" s="112" t="s">
        <v>507</v>
      </c>
      <c r="BR91" s="212"/>
      <c r="BS91" s="112" t="s">
        <v>507</v>
      </c>
      <c r="BT91" s="337"/>
      <c r="BU91" s="112" t="s">
        <v>507</v>
      </c>
      <c r="BV91" s="237"/>
    </row>
    <row r="92" spans="1:74" s="58" customFormat="1" ht="12.75">
      <c r="A92" s="57"/>
      <c r="B92" s="133" t="s">
        <v>365</v>
      </c>
      <c r="D92" s="218"/>
      <c r="E92" s="60"/>
      <c r="F92" s="212"/>
      <c r="G92" s="60"/>
      <c r="H92" s="212"/>
      <c r="I92" s="60">
        <f>+J92-H92</f>
        <v>-54</v>
      </c>
      <c r="J92" s="237">
        <f>-49-5</f>
        <v>-54</v>
      </c>
      <c r="L92" s="218"/>
      <c r="M92" s="60"/>
      <c r="N92" s="212"/>
      <c r="O92" s="60"/>
      <c r="P92" s="212"/>
      <c r="Q92" s="60">
        <f>+R92-P92</f>
        <v>-72</v>
      </c>
      <c r="R92" s="237">
        <f>-33-39</f>
        <v>-72</v>
      </c>
      <c r="T92" s="218"/>
      <c r="U92" s="60"/>
      <c r="V92" s="212"/>
      <c r="W92" s="60"/>
      <c r="X92" s="212"/>
      <c r="Y92" s="60">
        <f>+Z92-X92</f>
        <v>-72</v>
      </c>
      <c r="Z92" s="237">
        <f>-33-39</f>
        <v>-72</v>
      </c>
      <c r="AB92" s="218"/>
      <c r="AC92" s="60">
        <f>+AD92-AB92</f>
        <v>-11</v>
      </c>
      <c r="AD92" s="212">
        <v>-11</v>
      </c>
      <c r="AE92" s="60">
        <f>+AF92-AD92</f>
        <v>0</v>
      </c>
      <c r="AF92" s="212">
        <v>-11</v>
      </c>
      <c r="AG92" s="60">
        <f>+AH92-AF92</f>
        <v>-454</v>
      </c>
      <c r="AH92" s="237">
        <f>-244-219-2</f>
        <v>-465</v>
      </c>
      <c r="AJ92" s="218"/>
      <c r="AK92" s="60"/>
      <c r="AL92" s="212"/>
      <c r="AM92" s="60"/>
      <c r="AN92" s="212"/>
      <c r="AO92" s="60">
        <f>+AP92-AN92</f>
        <v>-254</v>
      </c>
      <c r="AP92" s="237">
        <f>-217-37</f>
        <v>-254</v>
      </c>
      <c r="AR92" s="218"/>
      <c r="AS92" s="160"/>
      <c r="AT92" s="212"/>
      <c r="AU92" s="160"/>
      <c r="AV92" s="337"/>
      <c r="AW92" s="60">
        <f>+AX92-AV92</f>
        <v>-120</v>
      </c>
      <c r="AX92" s="237">
        <v>-120</v>
      </c>
      <c r="AZ92" s="218"/>
      <c r="BA92" s="160"/>
      <c r="BB92" s="212"/>
      <c r="BC92" s="160"/>
      <c r="BD92" s="170"/>
      <c r="BE92" s="60"/>
      <c r="BF92" s="241">
        <v>-120</v>
      </c>
      <c r="BH92" s="218"/>
      <c r="BI92" s="160"/>
      <c r="BJ92" s="212"/>
      <c r="BK92" s="160"/>
      <c r="BL92" s="337"/>
      <c r="BM92" s="160"/>
      <c r="BN92" s="237">
        <v>-99</v>
      </c>
      <c r="BP92" s="218"/>
      <c r="BQ92" s="160"/>
      <c r="BR92" s="212"/>
      <c r="BS92" s="160"/>
      <c r="BT92" s="337"/>
      <c r="BU92" s="160"/>
      <c r="BV92" s="237"/>
    </row>
    <row r="93" spans="1:74" s="58" customFormat="1" ht="12.75">
      <c r="A93" s="57"/>
      <c r="B93" s="133"/>
      <c r="D93" s="218"/>
      <c r="E93" s="60"/>
      <c r="F93" s="212"/>
      <c r="G93" s="60"/>
      <c r="H93" s="212"/>
      <c r="I93" s="60"/>
      <c r="J93" s="237"/>
      <c r="L93" s="218"/>
      <c r="M93" s="60"/>
      <c r="N93" s="212"/>
      <c r="O93" s="60"/>
      <c r="P93" s="212"/>
      <c r="Q93" s="60"/>
      <c r="R93" s="237"/>
      <c r="T93" s="218"/>
      <c r="U93" s="60"/>
      <c r="V93" s="212"/>
      <c r="W93" s="60"/>
      <c r="X93" s="212"/>
      <c r="Y93" s="60"/>
      <c r="Z93" s="237"/>
      <c r="AB93" s="218"/>
      <c r="AC93" s="60"/>
      <c r="AD93" s="212"/>
      <c r="AE93" s="60"/>
      <c r="AF93" s="212"/>
      <c r="AG93" s="60"/>
      <c r="AH93" s="237"/>
      <c r="AJ93" s="218"/>
      <c r="AK93" s="60"/>
      <c r="AL93" s="212"/>
      <c r="AM93" s="60"/>
      <c r="AN93" s="212"/>
      <c r="AO93" s="60"/>
      <c r="AP93" s="237"/>
      <c r="AR93" s="218"/>
      <c r="AS93" s="160"/>
      <c r="AT93" s="212"/>
      <c r="AU93" s="160"/>
      <c r="AV93" s="337"/>
      <c r="AW93" s="60"/>
      <c r="AX93" s="237"/>
      <c r="AZ93" s="218"/>
      <c r="BA93" s="160"/>
      <c r="BB93" s="212"/>
      <c r="BC93" s="160"/>
      <c r="BD93" s="170"/>
      <c r="BE93" s="60"/>
      <c r="BF93" s="447"/>
      <c r="BH93" s="218"/>
      <c r="BI93" s="160"/>
      <c r="BJ93" s="212"/>
      <c r="BK93" s="160"/>
      <c r="BL93" s="337"/>
      <c r="BM93" s="160"/>
      <c r="BN93" s="237"/>
      <c r="BP93" s="218"/>
      <c r="BQ93" s="160"/>
      <c r="BR93" s="212"/>
      <c r="BS93" s="160"/>
      <c r="BT93" s="337"/>
      <c r="BU93" s="160"/>
      <c r="BV93" s="237"/>
    </row>
    <row r="94" spans="2:74" ht="12.75">
      <c r="B94" s="257" t="s">
        <v>351</v>
      </c>
      <c r="D94" s="144">
        <f aca="true" t="shared" si="75" ref="D94:J94">+D88+D90+D91+D92</f>
        <v>-190</v>
      </c>
      <c r="E94" s="55">
        <f t="shared" si="75"/>
        <v>436</v>
      </c>
      <c r="F94" s="59">
        <f t="shared" si="75"/>
        <v>246</v>
      </c>
      <c r="G94" s="55">
        <f t="shared" si="75"/>
        <v>-34</v>
      </c>
      <c r="H94" s="59">
        <f t="shared" si="75"/>
        <v>212</v>
      </c>
      <c r="I94" s="55">
        <f t="shared" si="75"/>
        <v>-154</v>
      </c>
      <c r="J94" s="83">
        <f t="shared" si="75"/>
        <v>58</v>
      </c>
      <c r="L94" s="144">
        <f aca="true" t="shared" si="76" ref="L94:R94">+L88+L90+L91+L92</f>
        <v>120</v>
      </c>
      <c r="M94" s="55">
        <f t="shared" si="76"/>
        <v>37</v>
      </c>
      <c r="N94" s="59">
        <f t="shared" si="76"/>
        <v>157</v>
      </c>
      <c r="O94" s="55">
        <f t="shared" si="76"/>
        <v>22</v>
      </c>
      <c r="P94" s="59">
        <f t="shared" si="76"/>
        <v>179</v>
      </c>
      <c r="Q94" s="55">
        <f t="shared" si="76"/>
        <v>5</v>
      </c>
      <c r="R94" s="83">
        <f t="shared" si="76"/>
        <v>184</v>
      </c>
      <c r="T94" s="144">
        <f aca="true" t="shared" si="77" ref="T94:Z94">+T88+T90+T91+T92</f>
        <v>120</v>
      </c>
      <c r="U94" s="55">
        <f t="shared" si="77"/>
        <v>37</v>
      </c>
      <c r="V94" s="59">
        <f t="shared" si="77"/>
        <v>157</v>
      </c>
      <c r="W94" s="55">
        <f t="shared" si="77"/>
        <v>22</v>
      </c>
      <c r="X94" s="59">
        <f t="shared" si="77"/>
        <v>179</v>
      </c>
      <c r="Y94" s="55">
        <f t="shared" si="77"/>
        <v>5</v>
      </c>
      <c r="Z94" s="83">
        <f t="shared" si="77"/>
        <v>184</v>
      </c>
      <c r="AB94" s="144">
        <f aca="true" t="shared" si="78" ref="AB94:AH94">+AB88+AB90+AB91+AB92</f>
        <v>-130</v>
      </c>
      <c r="AC94" s="55">
        <f t="shared" si="78"/>
        <v>-58</v>
      </c>
      <c r="AD94" s="59">
        <f t="shared" si="78"/>
        <v>-188</v>
      </c>
      <c r="AE94" s="55">
        <f t="shared" si="78"/>
        <v>-31</v>
      </c>
      <c r="AF94" s="59">
        <f t="shared" si="78"/>
        <v>-219</v>
      </c>
      <c r="AG94" s="55">
        <f t="shared" si="78"/>
        <v>525</v>
      </c>
      <c r="AH94" s="83">
        <f t="shared" si="78"/>
        <v>306</v>
      </c>
      <c r="AJ94" s="144">
        <f aca="true" t="shared" si="79" ref="AJ94:AP94">+AJ88+AJ90+AJ91+AJ92</f>
        <v>-40</v>
      </c>
      <c r="AK94" s="55">
        <f t="shared" si="79"/>
        <v>21</v>
      </c>
      <c r="AL94" s="59">
        <f t="shared" si="79"/>
        <v>-19</v>
      </c>
      <c r="AM94" s="55">
        <f t="shared" si="79"/>
        <v>-59</v>
      </c>
      <c r="AN94" s="59">
        <f t="shared" si="79"/>
        <v>-78</v>
      </c>
      <c r="AO94" s="55">
        <f t="shared" si="79"/>
        <v>-251</v>
      </c>
      <c r="AP94" s="83">
        <f t="shared" si="79"/>
        <v>-329</v>
      </c>
      <c r="AR94" s="344" t="s">
        <v>507</v>
      </c>
      <c r="AS94" s="340" t="s">
        <v>507</v>
      </c>
      <c r="AT94" s="263">
        <f>+AT88+AT90+AT91+AT92</f>
        <v>46</v>
      </c>
      <c r="AU94" s="340" t="s">
        <v>507</v>
      </c>
      <c r="AV94" s="345" t="s">
        <v>507</v>
      </c>
      <c r="AW94" s="340" t="s">
        <v>507</v>
      </c>
      <c r="AX94" s="247">
        <f>+AX88+AX90+AX91+AX92</f>
        <v>16</v>
      </c>
      <c r="AZ94" s="344" t="s">
        <v>507</v>
      </c>
      <c r="BA94" s="340" t="s">
        <v>507</v>
      </c>
      <c r="BB94" s="263">
        <f>+BB88+BB90+BB91+BB92</f>
        <v>46</v>
      </c>
      <c r="BC94" s="340" t="s">
        <v>507</v>
      </c>
      <c r="BD94" s="340" t="s">
        <v>507</v>
      </c>
      <c r="BE94" s="340" t="s">
        <v>507</v>
      </c>
      <c r="BF94" s="247">
        <f>+BF88+BF90+BF91+BF92</f>
        <v>16</v>
      </c>
      <c r="BH94" s="344" t="s">
        <v>507</v>
      </c>
      <c r="BI94" s="340" t="s">
        <v>507</v>
      </c>
      <c r="BJ94" s="263">
        <f>+SUM(BJ88:BJ92)</f>
        <v>157</v>
      </c>
      <c r="BK94" s="340" t="s">
        <v>507</v>
      </c>
      <c r="BL94" s="345" t="s">
        <v>507</v>
      </c>
      <c r="BM94" s="340" t="s">
        <v>507</v>
      </c>
      <c r="BN94" s="292">
        <f>+SUM(BN88:BN92)</f>
        <v>239</v>
      </c>
      <c r="BP94" s="894">
        <v>120</v>
      </c>
      <c r="BQ94" s="340" t="s">
        <v>507</v>
      </c>
      <c r="BR94" s="263">
        <f>+SUM(BR88:BR92)</f>
        <v>0</v>
      </c>
      <c r="BS94" s="340" t="s">
        <v>507</v>
      </c>
      <c r="BT94" s="345" t="s">
        <v>507</v>
      </c>
      <c r="BU94" s="340" t="s">
        <v>507</v>
      </c>
      <c r="BV94" s="292">
        <f>+SUM(BV88:BV92)</f>
        <v>0</v>
      </c>
    </row>
    <row r="95" spans="2:74" s="101" customFormat="1" ht="12.75">
      <c r="B95" s="156"/>
      <c r="D95" s="234"/>
      <c r="F95" s="209"/>
      <c r="H95" s="209"/>
      <c r="I95" s="55"/>
      <c r="J95" s="117"/>
      <c r="L95" s="234"/>
      <c r="N95" s="209"/>
      <c r="P95" s="209"/>
      <c r="Q95" s="55"/>
      <c r="R95" s="117"/>
      <c r="T95" s="234"/>
      <c r="V95" s="209"/>
      <c r="X95" s="209"/>
      <c r="Y95" s="55"/>
      <c r="Z95" s="117"/>
      <c r="AB95" s="234"/>
      <c r="AD95" s="209"/>
      <c r="AF95" s="209"/>
      <c r="AG95" s="55"/>
      <c r="AH95" s="117"/>
      <c r="AJ95" s="234"/>
      <c r="AL95" s="209"/>
      <c r="AN95" s="209"/>
      <c r="AO95" s="55"/>
      <c r="AP95" s="117"/>
      <c r="AR95" s="234"/>
      <c r="AS95" s="251"/>
      <c r="AT95" s="209"/>
      <c r="AU95" s="251"/>
      <c r="AV95" s="335"/>
      <c r="AW95" s="55"/>
      <c r="AX95" s="117"/>
      <c r="AZ95" s="234"/>
      <c r="BA95" s="251"/>
      <c r="BB95" s="209"/>
      <c r="BC95" s="251"/>
      <c r="BD95" s="209"/>
      <c r="BE95" s="55"/>
      <c r="BF95" s="448"/>
      <c r="BG95" s="57"/>
      <c r="BH95" s="214"/>
      <c r="BI95" s="251"/>
      <c r="BJ95" s="219"/>
      <c r="BK95" s="251"/>
      <c r="BL95" s="452"/>
      <c r="BM95" s="251"/>
      <c r="BN95" s="95"/>
      <c r="BP95" s="214"/>
      <c r="BQ95" s="251"/>
      <c r="BR95" s="219"/>
      <c r="BS95" s="251"/>
      <c r="BT95" s="452"/>
      <c r="BU95" s="251"/>
      <c r="BV95" s="95"/>
    </row>
    <row r="96" spans="2:74" s="58" customFormat="1" ht="12.75">
      <c r="B96" s="133" t="s">
        <v>165</v>
      </c>
      <c r="D96" s="213">
        <v>43</v>
      </c>
      <c r="E96" s="60">
        <f>+F96-D96</f>
        <v>50</v>
      </c>
      <c r="F96" s="212">
        <v>93</v>
      </c>
      <c r="G96" s="60">
        <f>+H96-F96</f>
        <v>44</v>
      </c>
      <c r="H96" s="212">
        <f>87+44+6</f>
        <v>137</v>
      </c>
      <c r="I96" s="60">
        <f>+J96-H96</f>
        <v>90</v>
      </c>
      <c r="J96" s="237">
        <v>227</v>
      </c>
      <c r="L96" s="213">
        <v>68</v>
      </c>
      <c r="M96" s="60">
        <f>+N96-L96</f>
        <v>57</v>
      </c>
      <c r="N96" s="212">
        <v>125</v>
      </c>
      <c r="O96" s="60">
        <f>+P96-N96</f>
        <v>86</v>
      </c>
      <c r="P96" s="212">
        <f>153+46+12</f>
        <v>211</v>
      </c>
      <c r="Q96" s="60">
        <f>+R96-P96</f>
        <v>126</v>
      </c>
      <c r="R96" s="237">
        <v>337</v>
      </c>
      <c r="T96" s="213">
        <v>68</v>
      </c>
      <c r="U96" s="60">
        <f>+V96-T96</f>
        <v>57</v>
      </c>
      <c r="V96" s="212">
        <v>125</v>
      </c>
      <c r="W96" s="60">
        <f>+X96-V96</f>
        <v>86</v>
      </c>
      <c r="X96" s="212">
        <v>211</v>
      </c>
      <c r="Y96" s="60">
        <f>+Z96-X96</f>
        <v>126</v>
      </c>
      <c r="Z96" s="237">
        <v>337</v>
      </c>
      <c r="AB96" s="213">
        <v>94</v>
      </c>
      <c r="AC96" s="60">
        <f>+AD96-AB96</f>
        <v>150</v>
      </c>
      <c r="AD96" s="212">
        <v>244</v>
      </c>
      <c r="AE96" s="60">
        <f>+AF96-AD96</f>
        <v>118</v>
      </c>
      <c r="AF96" s="212">
        <v>362</v>
      </c>
      <c r="AG96" s="60">
        <f>+AH96-AF96</f>
        <v>117</v>
      </c>
      <c r="AH96" s="237">
        <v>479</v>
      </c>
      <c r="AJ96" s="213">
        <v>86</v>
      </c>
      <c r="AK96" s="60">
        <f>+AL96-AJ96</f>
        <v>73</v>
      </c>
      <c r="AL96" s="212">
        <v>159</v>
      </c>
      <c r="AM96" s="60">
        <f t="shared" si="73"/>
        <v>-9</v>
      </c>
      <c r="AN96" s="212">
        <v>150</v>
      </c>
      <c r="AO96" s="60">
        <f t="shared" si="74"/>
        <v>142</v>
      </c>
      <c r="AP96" s="237">
        <v>292</v>
      </c>
      <c r="AR96" s="327" t="s">
        <v>507</v>
      </c>
      <c r="AS96" s="112" t="s">
        <v>507</v>
      </c>
      <c r="AT96" s="212">
        <v>161</v>
      </c>
      <c r="AU96" s="112" t="s">
        <v>507</v>
      </c>
      <c r="AV96" s="337" t="s">
        <v>507</v>
      </c>
      <c r="AW96" s="112" t="s">
        <v>507</v>
      </c>
      <c r="AX96" s="237">
        <v>310</v>
      </c>
      <c r="AZ96" s="327" t="s">
        <v>507</v>
      </c>
      <c r="BA96" s="112" t="s">
        <v>507</v>
      </c>
      <c r="BB96" s="212">
        <v>161</v>
      </c>
      <c r="BC96" s="112" t="s">
        <v>507</v>
      </c>
      <c r="BD96" s="337" t="s">
        <v>507</v>
      </c>
      <c r="BE96" s="112" t="s">
        <v>507</v>
      </c>
      <c r="BF96" s="495">
        <v>310</v>
      </c>
      <c r="BH96" s="327" t="s">
        <v>507</v>
      </c>
      <c r="BI96" s="112" t="s">
        <v>507</v>
      </c>
      <c r="BJ96" s="212">
        <v>110</v>
      </c>
      <c r="BK96" s="112" t="s">
        <v>507</v>
      </c>
      <c r="BL96" s="337" t="s">
        <v>581</v>
      </c>
      <c r="BM96" s="112" t="s">
        <v>507</v>
      </c>
      <c r="BN96" s="502">
        <v>201</v>
      </c>
      <c r="BP96" s="327">
        <v>33</v>
      </c>
      <c r="BQ96" s="112" t="s">
        <v>507</v>
      </c>
      <c r="BR96" s="212"/>
      <c r="BS96" s="112" t="s">
        <v>507</v>
      </c>
      <c r="BT96" s="337"/>
      <c r="BU96" s="112" t="s">
        <v>507</v>
      </c>
      <c r="BV96" s="502"/>
    </row>
    <row r="97" spans="2:74" ht="12.75">
      <c r="B97" s="136"/>
      <c r="D97" s="214"/>
      <c r="E97" s="62"/>
      <c r="F97" s="212"/>
      <c r="G97" s="62"/>
      <c r="H97" s="212"/>
      <c r="I97" s="55"/>
      <c r="J97" s="237"/>
      <c r="L97" s="214"/>
      <c r="M97" s="62"/>
      <c r="N97" s="212"/>
      <c r="O97" s="62"/>
      <c r="P97" s="212"/>
      <c r="Q97" s="55"/>
      <c r="R97" s="237"/>
      <c r="T97" s="214"/>
      <c r="U97" s="62"/>
      <c r="V97" s="212"/>
      <c r="W97" s="62"/>
      <c r="X97" s="212"/>
      <c r="Y97" s="55"/>
      <c r="Z97" s="237"/>
      <c r="AB97" s="214"/>
      <c r="AC97" s="62"/>
      <c r="AD97" s="212"/>
      <c r="AE97" s="62"/>
      <c r="AF97" s="212"/>
      <c r="AG97" s="55"/>
      <c r="AH97" s="237"/>
      <c r="AJ97" s="214"/>
      <c r="AK97" s="62"/>
      <c r="AL97" s="212"/>
      <c r="AM97" s="62"/>
      <c r="AN97" s="212"/>
      <c r="AO97" s="55"/>
      <c r="AP97" s="237"/>
      <c r="AR97" s="325"/>
      <c r="AS97" s="62"/>
      <c r="AT97" s="212"/>
      <c r="AU97" s="62"/>
      <c r="AV97" s="337"/>
      <c r="AW97" s="55"/>
      <c r="AX97" s="237"/>
      <c r="AZ97" s="325"/>
      <c r="BA97" s="62"/>
      <c r="BB97" s="212"/>
      <c r="BC97" s="62"/>
      <c r="BD97" s="452"/>
      <c r="BE97" s="55"/>
      <c r="BF97" s="237"/>
      <c r="BH97" s="325"/>
      <c r="BI97" s="62"/>
      <c r="BJ97" s="212"/>
      <c r="BK97" s="62"/>
      <c r="BL97" s="337"/>
      <c r="BM97" s="62"/>
      <c r="BN97" s="237"/>
      <c r="BP97" s="325"/>
      <c r="BQ97" s="62"/>
      <c r="BR97" s="212"/>
      <c r="BS97" s="62"/>
      <c r="BT97" s="337"/>
      <c r="BU97" s="62"/>
      <c r="BV97" s="237"/>
    </row>
    <row r="98" spans="2:74" ht="12.75">
      <c r="B98" s="287" t="s">
        <v>491</v>
      </c>
      <c r="D98" s="230">
        <v>1415</v>
      </c>
      <c r="E98" s="152"/>
      <c r="F98" s="231">
        <v>1403</v>
      </c>
      <c r="G98" s="152"/>
      <c r="H98" s="231">
        <v>1415</v>
      </c>
      <c r="I98" s="153"/>
      <c r="J98" s="246">
        <v>1415</v>
      </c>
      <c r="L98" s="230">
        <v>1415</v>
      </c>
      <c r="M98" s="152"/>
      <c r="N98" s="231">
        <v>1411</v>
      </c>
      <c r="O98" s="152"/>
      <c r="P98" s="231">
        <v>1410</v>
      </c>
      <c r="Q98" s="153"/>
      <c r="R98" s="246">
        <v>1419</v>
      </c>
      <c r="T98" s="230">
        <v>1419</v>
      </c>
      <c r="U98" s="152"/>
      <c r="V98" s="231">
        <v>1419</v>
      </c>
      <c r="W98" s="152"/>
      <c r="X98" s="231">
        <v>1419</v>
      </c>
      <c r="Y98" s="153"/>
      <c r="Z98" s="246">
        <v>1419</v>
      </c>
      <c r="AB98" s="230">
        <v>1428</v>
      </c>
      <c r="AC98" s="152"/>
      <c r="AD98" s="231">
        <v>1415</v>
      </c>
      <c r="AE98" s="152"/>
      <c r="AF98" s="231">
        <v>1416</v>
      </c>
      <c r="AG98" s="153"/>
      <c r="AH98" s="246">
        <v>1414</v>
      </c>
      <c r="AJ98" s="230">
        <v>1395</v>
      </c>
      <c r="AK98" s="152"/>
      <c r="AL98" s="231">
        <v>1382</v>
      </c>
      <c r="AM98" s="152"/>
      <c r="AN98" s="231">
        <v>1368</v>
      </c>
      <c r="AO98" s="153"/>
      <c r="AP98" s="246">
        <v>1379</v>
      </c>
      <c r="AR98" s="326" t="s">
        <v>507</v>
      </c>
      <c r="AS98" s="330"/>
      <c r="AT98" s="231">
        <v>1352</v>
      </c>
      <c r="AU98" s="152"/>
      <c r="AV98" s="338" t="s">
        <v>507</v>
      </c>
      <c r="AW98" s="153"/>
      <c r="AX98" s="343">
        <v>1359</v>
      </c>
      <c r="AZ98" s="326" t="s">
        <v>507</v>
      </c>
      <c r="BA98" s="330"/>
      <c r="BB98" s="330" t="s">
        <v>507</v>
      </c>
      <c r="BC98" s="152"/>
      <c r="BD98" s="330" t="s">
        <v>507</v>
      </c>
      <c r="BE98" s="153"/>
      <c r="BF98" s="246">
        <v>1359</v>
      </c>
      <c r="BH98" s="326" t="s">
        <v>507</v>
      </c>
      <c r="BI98" s="330"/>
      <c r="BJ98" s="231">
        <v>1439</v>
      </c>
      <c r="BK98" s="152"/>
      <c r="BL98" s="338" t="s">
        <v>581</v>
      </c>
      <c r="BM98" s="152"/>
      <c r="BN98" s="343">
        <v>1437</v>
      </c>
      <c r="BP98" s="326" t="s">
        <v>507</v>
      </c>
      <c r="BQ98" s="330"/>
      <c r="BR98" s="231"/>
      <c r="BS98" s="152"/>
      <c r="BT98" s="338"/>
      <c r="BU98" s="152"/>
      <c r="BV98" s="343"/>
    </row>
    <row r="99" spans="2:56" ht="12.75">
      <c r="B99" s="68"/>
      <c r="I99" s="57"/>
      <c r="AV99" s="164"/>
      <c r="BD99" s="164"/>
    </row>
    <row r="100" spans="48:56" s="49" customFormat="1" ht="12.75">
      <c r="AV100" s="164"/>
      <c r="BD100" s="164"/>
    </row>
    <row r="101" spans="2:74" s="51" customFormat="1" ht="17.25" customHeight="1">
      <c r="B101" s="129" t="s">
        <v>210</v>
      </c>
      <c r="D101" s="322" t="s">
        <v>220</v>
      </c>
      <c r="E101" s="323" t="s">
        <v>221</v>
      </c>
      <c r="F101" s="323" t="s">
        <v>222</v>
      </c>
      <c r="G101" s="323" t="s">
        <v>223</v>
      </c>
      <c r="H101" s="323" t="s">
        <v>224</v>
      </c>
      <c r="I101" s="323" t="s">
        <v>225</v>
      </c>
      <c r="J101" s="324" t="s">
        <v>226</v>
      </c>
      <c r="L101" s="322" t="s">
        <v>234</v>
      </c>
      <c r="M101" s="323" t="s">
        <v>235</v>
      </c>
      <c r="N101" s="323" t="s">
        <v>236</v>
      </c>
      <c r="O101" s="323" t="s">
        <v>237</v>
      </c>
      <c r="P101" s="323" t="s">
        <v>238</v>
      </c>
      <c r="Q101" s="323" t="s">
        <v>239</v>
      </c>
      <c r="R101" s="324" t="s">
        <v>240</v>
      </c>
      <c r="T101" s="322" t="str">
        <f aca="true" t="shared" si="80" ref="T101:Z101">+T4</f>
        <v>IQ 2014</v>
      </c>
      <c r="U101" s="323" t="str">
        <f t="shared" si="80"/>
        <v>IIQ 2014</v>
      </c>
      <c r="V101" s="323" t="str">
        <f t="shared" si="80"/>
        <v>IH 2014</v>
      </c>
      <c r="W101" s="323" t="str">
        <f t="shared" si="80"/>
        <v>III Q 2014</v>
      </c>
      <c r="X101" s="323" t="str">
        <f t="shared" si="80"/>
        <v>9M 2014</v>
      </c>
      <c r="Y101" s="323" t="str">
        <f t="shared" si="80"/>
        <v>IV Q 2014</v>
      </c>
      <c r="Z101" s="324" t="str">
        <f t="shared" si="80"/>
        <v>FY 2014</v>
      </c>
      <c r="AB101" s="322" t="str">
        <f aca="true" t="shared" si="81" ref="AB101:AH101">+AB4</f>
        <v>IQ 2015</v>
      </c>
      <c r="AC101" s="323" t="str">
        <f t="shared" si="81"/>
        <v>IIQ 2015</v>
      </c>
      <c r="AD101" s="323" t="str">
        <f t="shared" si="81"/>
        <v>IH 2015</v>
      </c>
      <c r="AE101" s="323" t="str">
        <f t="shared" si="81"/>
        <v>III Q 2015</v>
      </c>
      <c r="AF101" s="323" t="str">
        <f t="shared" si="81"/>
        <v>9M 2015</v>
      </c>
      <c r="AG101" s="323" t="str">
        <f t="shared" si="81"/>
        <v>IV Q 2015</v>
      </c>
      <c r="AH101" s="324" t="str">
        <f t="shared" si="81"/>
        <v>FY 2015</v>
      </c>
      <c r="AJ101" s="322" t="s">
        <v>279</v>
      </c>
      <c r="AK101" s="323" t="s">
        <v>280</v>
      </c>
      <c r="AL101" s="323" t="s">
        <v>281</v>
      </c>
      <c r="AM101" s="323" t="s">
        <v>282</v>
      </c>
      <c r="AN101" s="323" t="s">
        <v>283</v>
      </c>
      <c r="AO101" s="323" t="s">
        <v>284</v>
      </c>
      <c r="AP101" s="324" t="s">
        <v>355</v>
      </c>
      <c r="AR101" s="322" t="str">
        <f>+AR80</f>
        <v>IQ 2017</v>
      </c>
      <c r="AS101" s="322" t="str">
        <f aca="true" t="shared" si="82" ref="AS101:AX101">+AS80</f>
        <v>IIQ 2017</v>
      </c>
      <c r="AT101" s="322" t="str">
        <f t="shared" si="82"/>
        <v>IH 2017</v>
      </c>
      <c r="AU101" s="322" t="str">
        <f t="shared" si="82"/>
        <v>III Q 2017</v>
      </c>
      <c r="AV101" s="322" t="str">
        <f t="shared" si="82"/>
        <v>9M 2017</v>
      </c>
      <c r="AW101" s="322" t="str">
        <f t="shared" si="82"/>
        <v>IV Q 2017</v>
      </c>
      <c r="AX101" s="322" t="str">
        <f t="shared" si="82"/>
        <v>FY 2017</v>
      </c>
      <c r="AZ101" s="322" t="s">
        <v>506</v>
      </c>
      <c r="BA101" s="323" t="s">
        <v>508</v>
      </c>
      <c r="BB101" s="323" t="s">
        <v>561</v>
      </c>
      <c r="BC101" s="323" t="s">
        <v>509</v>
      </c>
      <c r="BD101" s="323" t="s">
        <v>510</v>
      </c>
      <c r="BE101" s="323" t="s">
        <v>511</v>
      </c>
      <c r="BF101" s="324" t="s">
        <v>533</v>
      </c>
      <c r="BH101" s="322" t="str">
        <f>+BH4</f>
        <v>IQ 2018 (7)</v>
      </c>
      <c r="BI101" s="323" t="str">
        <f aca="true" t="shared" si="83" ref="BI101:BN101">+BI80</f>
        <v>IIQ 2018 </v>
      </c>
      <c r="BJ101" s="323" t="str">
        <f t="shared" si="83"/>
        <v>IH 2018</v>
      </c>
      <c r="BK101" s="323" t="str">
        <f t="shared" si="83"/>
        <v>III Q 2018</v>
      </c>
      <c r="BL101" s="323" t="str">
        <f t="shared" si="83"/>
        <v>9M 2018</v>
      </c>
      <c r="BM101" s="323" t="str">
        <f t="shared" si="83"/>
        <v>IV Q 2018</v>
      </c>
      <c r="BN101" s="324" t="str">
        <f t="shared" si="83"/>
        <v>FY 2018</v>
      </c>
      <c r="BP101" s="850" t="str">
        <f>+BP4</f>
        <v>IQ 2019</v>
      </c>
      <c r="BQ101" s="851" t="str">
        <f aca="true" t="shared" si="84" ref="BQ101:BV101">+BQ80</f>
        <v>IIQ 2019 </v>
      </c>
      <c r="BR101" s="851" t="str">
        <f t="shared" si="84"/>
        <v>IH 2019</v>
      </c>
      <c r="BS101" s="851" t="str">
        <f t="shared" si="84"/>
        <v>III Q 2019</v>
      </c>
      <c r="BT101" s="851" t="str">
        <f t="shared" si="84"/>
        <v>9M 2019</v>
      </c>
      <c r="BU101" s="851" t="str">
        <f t="shared" si="84"/>
        <v>IV Q 2019</v>
      </c>
      <c r="BV101" s="852" t="str">
        <f t="shared" si="84"/>
        <v>FY 2019</v>
      </c>
    </row>
    <row r="102" spans="2:74" ht="12.75">
      <c r="B102" s="154"/>
      <c r="D102" s="181"/>
      <c r="E102" s="182"/>
      <c r="F102" s="182"/>
      <c r="G102" s="182"/>
      <c r="H102" s="182"/>
      <c r="I102" s="182"/>
      <c r="J102" s="183"/>
      <c r="L102" s="181"/>
      <c r="M102" s="182"/>
      <c r="N102" s="182"/>
      <c r="O102" s="182"/>
      <c r="P102" s="182"/>
      <c r="Q102" s="182"/>
      <c r="R102" s="183"/>
      <c r="T102" s="181"/>
      <c r="U102" s="182"/>
      <c r="V102" s="182"/>
      <c r="W102" s="182"/>
      <c r="X102" s="182"/>
      <c r="Y102" s="182"/>
      <c r="Z102" s="183"/>
      <c r="AB102" s="181"/>
      <c r="AC102" s="182"/>
      <c r="AD102" s="182"/>
      <c r="AE102" s="182"/>
      <c r="AF102" s="182"/>
      <c r="AG102" s="182"/>
      <c r="AH102" s="183"/>
      <c r="AJ102" s="181"/>
      <c r="AK102" s="182"/>
      <c r="AL102" s="182"/>
      <c r="AM102" s="182"/>
      <c r="AN102" s="182"/>
      <c r="AO102" s="182"/>
      <c r="AP102" s="183"/>
      <c r="AR102" s="181"/>
      <c r="AS102" s="182"/>
      <c r="AT102" s="182"/>
      <c r="AU102" s="182"/>
      <c r="AV102" s="336"/>
      <c r="AW102" s="182"/>
      <c r="AX102" s="183"/>
      <c r="AZ102" s="181"/>
      <c r="BA102" s="182"/>
      <c r="BB102" s="182"/>
      <c r="BC102" s="182"/>
      <c r="BD102" s="336"/>
      <c r="BE102" s="182"/>
      <c r="BF102" s="183"/>
      <c r="BH102" s="181"/>
      <c r="BI102" s="182"/>
      <c r="BJ102" s="182"/>
      <c r="BK102" s="182"/>
      <c r="BL102" s="336"/>
      <c r="BM102" s="182"/>
      <c r="BN102" s="183"/>
      <c r="BP102" s="181"/>
      <c r="BQ102" s="182"/>
      <c r="BR102" s="182"/>
      <c r="BS102" s="182"/>
      <c r="BT102" s="336"/>
      <c r="BU102" s="182"/>
      <c r="BV102" s="183"/>
    </row>
    <row r="103" spans="2:74" ht="12.75">
      <c r="B103" s="132" t="s">
        <v>132</v>
      </c>
      <c r="D103" s="103"/>
      <c r="E103" s="158"/>
      <c r="I103" s="57"/>
      <c r="J103" s="95"/>
      <c r="L103" s="103"/>
      <c r="M103" s="158"/>
      <c r="R103" s="95"/>
      <c r="T103" s="103"/>
      <c r="U103" s="158"/>
      <c r="Z103" s="95"/>
      <c r="AB103" s="103"/>
      <c r="AC103" s="158"/>
      <c r="AH103" s="95"/>
      <c r="AJ103" s="103"/>
      <c r="AK103" s="158"/>
      <c r="AP103" s="95"/>
      <c r="AR103" s="103"/>
      <c r="AS103" s="158"/>
      <c r="AV103" s="164"/>
      <c r="AX103" s="95"/>
      <c r="AZ103" s="103"/>
      <c r="BA103" s="158"/>
      <c r="BD103" s="164"/>
      <c r="BF103" s="95"/>
      <c r="BH103" s="103"/>
      <c r="BI103" s="158"/>
      <c r="BL103" s="164"/>
      <c r="BN103" s="95"/>
      <c r="BP103" s="103"/>
      <c r="BQ103" s="158"/>
      <c r="BT103" s="164"/>
      <c r="BV103" s="95"/>
    </row>
    <row r="104" spans="2:74" s="58" customFormat="1" ht="12.75">
      <c r="B104" s="155" t="s">
        <v>109</v>
      </c>
      <c r="D104" s="218">
        <v>4007</v>
      </c>
      <c r="E104" s="19">
        <f>+F104-D104</f>
        <v>2494</v>
      </c>
      <c r="F104" s="212">
        <v>6501</v>
      </c>
      <c r="G104" s="19">
        <f>+H104-F104</f>
        <v>3211</v>
      </c>
      <c r="H104" s="212">
        <v>9712</v>
      </c>
      <c r="I104" s="19">
        <f>+J104-H104</f>
        <v>3791</v>
      </c>
      <c r="J104" s="242">
        <v>13503</v>
      </c>
      <c r="L104" s="218">
        <v>3187</v>
      </c>
      <c r="M104" s="19">
        <f>+N104-L104</f>
        <v>2438</v>
      </c>
      <c r="N104" s="212">
        <v>5625</v>
      </c>
      <c r="O104" s="19">
        <f>+P104-N104</f>
        <v>2816</v>
      </c>
      <c r="P104" s="212">
        <v>8441</v>
      </c>
      <c r="Q104" s="19">
        <f>+R104-P104</f>
        <v>3315</v>
      </c>
      <c r="R104" s="242">
        <v>11756</v>
      </c>
      <c r="T104" s="218">
        <v>3197</v>
      </c>
      <c r="U104" s="19">
        <f>+V104-T104</f>
        <v>2428</v>
      </c>
      <c r="V104" s="212">
        <v>5625</v>
      </c>
      <c r="W104" s="19">
        <f>+X104-V104</f>
        <v>2816</v>
      </c>
      <c r="X104" s="212">
        <v>8441</v>
      </c>
      <c r="Y104" s="19">
        <f>+Z104-X104</f>
        <v>3315</v>
      </c>
      <c r="Z104" s="242">
        <v>11756</v>
      </c>
      <c r="AB104" s="218">
        <v>3706</v>
      </c>
      <c r="AC104" s="19">
        <f>+AD104-AB104</f>
        <v>3007</v>
      </c>
      <c r="AD104" s="212">
        <v>6713</v>
      </c>
      <c r="AE104" s="19">
        <f>+AF104-AD104</f>
        <v>4161</v>
      </c>
      <c r="AF104" s="212">
        <v>10874</v>
      </c>
      <c r="AG104" s="19">
        <f>+AH104-AF104</f>
        <v>3242</v>
      </c>
      <c r="AH104" s="242">
        <v>14116</v>
      </c>
      <c r="AJ104" s="218">
        <v>3918</v>
      </c>
      <c r="AK104" s="19">
        <f>+AL104-AJ104</f>
        <v>3342</v>
      </c>
      <c r="AL104" s="212">
        <v>7260</v>
      </c>
      <c r="AM104" s="19">
        <f>+AN104-AL104</f>
        <v>4443</v>
      </c>
      <c r="AN104" s="212">
        <v>11703</v>
      </c>
      <c r="AO104" s="19">
        <f>+AP104-AN104</f>
        <v>5062</v>
      </c>
      <c r="AP104" s="242">
        <v>16765</v>
      </c>
      <c r="AR104" s="218">
        <v>4682</v>
      </c>
      <c r="AS104" s="19">
        <f>+AT104-AR104</f>
        <v>3733</v>
      </c>
      <c r="AT104" s="212">
        <v>8415</v>
      </c>
      <c r="AU104" s="19">
        <f>+AV104-AT104</f>
        <v>4086</v>
      </c>
      <c r="AV104" s="212">
        <v>12501</v>
      </c>
      <c r="AW104" s="19">
        <f>+AX104-AV104</f>
        <v>3968</v>
      </c>
      <c r="AX104" s="242">
        <v>16469</v>
      </c>
      <c r="AZ104" s="218">
        <v>4682</v>
      </c>
      <c r="BA104" s="19">
        <f>+BB104-AZ104</f>
        <v>3733</v>
      </c>
      <c r="BB104" s="212">
        <v>8415</v>
      </c>
      <c r="BC104" s="19">
        <f>+BD104-BB104</f>
        <v>4086</v>
      </c>
      <c r="BD104" s="212">
        <v>12501</v>
      </c>
      <c r="BE104" s="19">
        <f>+BF104-BD104</f>
        <v>3968</v>
      </c>
      <c r="BF104" s="242">
        <v>16469</v>
      </c>
      <c r="BH104" s="218">
        <v>3932</v>
      </c>
      <c r="BI104" s="19">
        <f>+BJ104-BH104</f>
        <v>2654</v>
      </c>
      <c r="BJ104" s="212">
        <v>6586</v>
      </c>
      <c r="BK104" s="19">
        <f>+BL104-BJ104</f>
        <v>4018</v>
      </c>
      <c r="BL104" s="212">
        <v>10604</v>
      </c>
      <c r="BM104" s="19">
        <f>+BN104-BL104</f>
        <v>4159</v>
      </c>
      <c r="BN104" s="242">
        <v>14763</v>
      </c>
      <c r="BP104" s="218">
        <v>4335</v>
      </c>
      <c r="BQ104" s="19">
        <f>+BR104-BP104</f>
        <v>-4335</v>
      </c>
      <c r="BR104" s="212"/>
      <c r="BS104" s="19">
        <f>+BT104-BR104</f>
        <v>0</v>
      </c>
      <c r="BT104" s="212"/>
      <c r="BU104" s="19">
        <f>+BV104-BT104</f>
        <v>0</v>
      </c>
      <c r="BV104" s="242"/>
    </row>
    <row r="105" spans="2:74" s="58" customFormat="1" ht="12.75">
      <c r="B105" s="157" t="s">
        <v>110</v>
      </c>
      <c r="D105" s="218">
        <v>500</v>
      </c>
      <c r="E105" s="19">
        <f>+F105-D105</f>
        <v>1479</v>
      </c>
      <c r="F105" s="212">
        <v>1979</v>
      </c>
      <c r="G105" s="19">
        <f>+H105-F105</f>
        <v>1104</v>
      </c>
      <c r="H105" s="212">
        <v>3083</v>
      </c>
      <c r="I105" s="19">
        <f>+J105-H105</f>
        <v>946</v>
      </c>
      <c r="J105" s="242">
        <v>4029</v>
      </c>
      <c r="L105" s="218">
        <v>835</v>
      </c>
      <c r="M105" s="19">
        <f>+N105-L105</f>
        <v>1532</v>
      </c>
      <c r="N105" s="212">
        <v>2367</v>
      </c>
      <c r="O105" s="19">
        <f>+P105-N105</f>
        <v>1511</v>
      </c>
      <c r="P105" s="212">
        <v>3878</v>
      </c>
      <c r="Q105" s="19">
        <f>+R105-P105</f>
        <v>1076</v>
      </c>
      <c r="R105" s="242">
        <v>4954</v>
      </c>
      <c r="T105" s="218">
        <v>835</v>
      </c>
      <c r="U105" s="19">
        <f>+V105-T105</f>
        <v>1532</v>
      </c>
      <c r="V105" s="212">
        <v>2367</v>
      </c>
      <c r="W105" s="19">
        <f>+X105-V105</f>
        <v>1511</v>
      </c>
      <c r="X105" s="212">
        <v>3878</v>
      </c>
      <c r="Y105" s="19">
        <f>+Z105-X105</f>
        <v>1076</v>
      </c>
      <c r="Z105" s="242">
        <v>4954</v>
      </c>
      <c r="AB105" s="218">
        <v>590</v>
      </c>
      <c r="AC105" s="19">
        <f>+AD105-AB105</f>
        <v>1050</v>
      </c>
      <c r="AD105" s="212">
        <v>1640</v>
      </c>
      <c r="AE105" s="19">
        <f>+AF105-AD105</f>
        <v>1033</v>
      </c>
      <c r="AF105" s="212">
        <v>2673</v>
      </c>
      <c r="AG105" s="19">
        <f>+AH105-AF105</f>
        <v>705</v>
      </c>
      <c r="AH105" s="242">
        <v>3378</v>
      </c>
      <c r="AJ105" s="218">
        <v>304</v>
      </c>
      <c r="AK105" s="19">
        <f>+AL105-AJ105</f>
        <v>870</v>
      </c>
      <c r="AL105" s="212">
        <v>1174</v>
      </c>
      <c r="AM105" s="19">
        <f>+AN105-AL105</f>
        <v>746</v>
      </c>
      <c r="AN105" s="212">
        <v>1920</v>
      </c>
      <c r="AO105" s="19">
        <f>+AP105-AN105</f>
        <v>570</v>
      </c>
      <c r="AP105" s="242">
        <v>2490</v>
      </c>
      <c r="AR105" s="218">
        <v>337</v>
      </c>
      <c r="AS105" s="19">
        <f>+AT105-AR105</f>
        <v>704</v>
      </c>
      <c r="AT105" s="212">
        <v>1041</v>
      </c>
      <c r="AU105" s="19">
        <f>+AV105-AT105</f>
        <v>720</v>
      </c>
      <c r="AV105" s="212">
        <v>1761</v>
      </c>
      <c r="AW105" s="19">
        <f>+AX105-AV105</f>
        <v>448</v>
      </c>
      <c r="AX105" s="242">
        <v>2209</v>
      </c>
      <c r="AZ105" s="218">
        <v>337</v>
      </c>
      <c r="BA105" s="19">
        <f>+BB105-AZ105</f>
        <v>704</v>
      </c>
      <c r="BB105" s="212">
        <v>1041</v>
      </c>
      <c r="BC105" s="19">
        <f aca="true" t="shared" si="85" ref="BC105:BE107">+BD105-BB105</f>
        <v>720</v>
      </c>
      <c r="BD105" s="212">
        <v>1761</v>
      </c>
      <c r="BE105" s="19">
        <f t="shared" si="85"/>
        <v>448</v>
      </c>
      <c r="BF105" s="242">
        <v>2209</v>
      </c>
      <c r="BH105" s="218">
        <v>466</v>
      </c>
      <c r="BI105" s="19">
        <f>+BJ105-BH105</f>
        <v>1215</v>
      </c>
      <c r="BJ105" s="212">
        <v>1681</v>
      </c>
      <c r="BK105" s="19">
        <f>+BL105-BJ105</f>
        <v>675</v>
      </c>
      <c r="BL105" s="212">
        <v>2356</v>
      </c>
      <c r="BM105" s="19">
        <f>+BN105-BL105</f>
        <v>724</v>
      </c>
      <c r="BN105" s="242">
        <v>3080</v>
      </c>
      <c r="BP105" s="218">
        <v>439</v>
      </c>
      <c r="BQ105" s="19">
        <f>+BR105-BP105</f>
        <v>-439</v>
      </c>
      <c r="BR105" s="212"/>
      <c r="BS105" s="19">
        <f>+BT105-BR105</f>
        <v>0</v>
      </c>
      <c r="BT105" s="212"/>
      <c r="BU105" s="19">
        <f>+BV105-BT105</f>
        <v>0</v>
      </c>
      <c r="BV105" s="242"/>
    </row>
    <row r="106" spans="2:74" s="58" customFormat="1" ht="12.75">
      <c r="B106" s="155" t="s">
        <v>175</v>
      </c>
      <c r="D106" s="218">
        <v>289</v>
      </c>
      <c r="E106" s="19">
        <f>+F106-D106</f>
        <v>216</v>
      </c>
      <c r="F106" s="212">
        <v>505</v>
      </c>
      <c r="G106" s="19">
        <f>+H106-F106</f>
        <v>125</v>
      </c>
      <c r="H106" s="212">
        <v>630</v>
      </c>
      <c r="I106" s="19">
        <f>+J106-H106</f>
        <v>246</v>
      </c>
      <c r="J106" s="242">
        <v>876</v>
      </c>
      <c r="L106" s="218">
        <v>290</v>
      </c>
      <c r="M106" s="19">
        <f>+N106-L106</f>
        <v>190</v>
      </c>
      <c r="N106" s="212">
        <v>480</v>
      </c>
      <c r="O106" s="19">
        <f>+P106-N106</f>
        <v>158</v>
      </c>
      <c r="P106" s="212">
        <v>638</v>
      </c>
      <c r="Q106" s="19">
        <f>+R106-P106</f>
        <v>268</v>
      </c>
      <c r="R106" s="242">
        <v>906</v>
      </c>
      <c r="T106" s="218">
        <v>280</v>
      </c>
      <c r="U106" s="19">
        <f>+V106-T106</f>
        <v>200</v>
      </c>
      <c r="V106" s="212">
        <v>480</v>
      </c>
      <c r="W106" s="19">
        <f>+X106-V106</f>
        <v>158</v>
      </c>
      <c r="X106" s="212">
        <v>638</v>
      </c>
      <c r="Y106" s="19">
        <f>+Z106-X106</f>
        <v>268</v>
      </c>
      <c r="Z106" s="242">
        <v>906</v>
      </c>
      <c r="AB106" s="218">
        <v>330</v>
      </c>
      <c r="AC106" s="19">
        <f>+AD106-AB106</f>
        <v>286</v>
      </c>
      <c r="AD106" s="212">
        <v>616</v>
      </c>
      <c r="AE106" s="19">
        <f>+AF106-AD106</f>
        <v>176</v>
      </c>
      <c r="AF106" s="212">
        <v>792</v>
      </c>
      <c r="AG106" s="19">
        <f>+AH106-AF106</f>
        <v>195</v>
      </c>
      <c r="AH106" s="242">
        <v>987</v>
      </c>
      <c r="AJ106" s="218">
        <v>369</v>
      </c>
      <c r="AK106" s="19">
        <f>+AL106-AJ106</f>
        <v>276</v>
      </c>
      <c r="AL106" s="212">
        <v>645</v>
      </c>
      <c r="AM106" s="19">
        <f>+AN106-AL106</f>
        <v>188</v>
      </c>
      <c r="AN106" s="212">
        <v>833</v>
      </c>
      <c r="AO106" s="19">
        <f>+AP106-AN106</f>
        <v>270</v>
      </c>
      <c r="AP106" s="242">
        <v>1103</v>
      </c>
      <c r="AR106" s="218">
        <v>324</v>
      </c>
      <c r="AS106" s="19">
        <f>+AT106-AR106</f>
        <v>218</v>
      </c>
      <c r="AT106" s="212">
        <v>542</v>
      </c>
      <c r="AU106" s="19">
        <f>+AV106-AT106</f>
        <v>213</v>
      </c>
      <c r="AV106" s="212">
        <v>755</v>
      </c>
      <c r="AW106" s="19">
        <f>+AX106-AV106</f>
        <v>309</v>
      </c>
      <c r="AX106" s="242">
        <v>1064</v>
      </c>
      <c r="AZ106" s="218">
        <v>324</v>
      </c>
      <c r="BA106" s="19">
        <f>+BB106-AZ106</f>
        <v>218</v>
      </c>
      <c r="BB106" s="212">
        <v>542</v>
      </c>
      <c r="BC106" s="19">
        <f t="shared" si="85"/>
        <v>213</v>
      </c>
      <c r="BD106" s="212">
        <v>755</v>
      </c>
      <c r="BE106" s="19">
        <f t="shared" si="85"/>
        <v>309</v>
      </c>
      <c r="BF106" s="242">
        <v>1064</v>
      </c>
      <c r="BH106" s="218">
        <v>336</v>
      </c>
      <c r="BI106" s="19">
        <f>+BJ106-BH106</f>
        <v>193</v>
      </c>
      <c r="BJ106" s="212">
        <v>529</v>
      </c>
      <c r="BK106" s="19">
        <f>+BL106-BJ106</f>
        <v>149</v>
      </c>
      <c r="BL106" s="212">
        <v>678</v>
      </c>
      <c r="BM106" s="19">
        <f>+BN106-BL106</f>
        <v>277</v>
      </c>
      <c r="BN106" s="242">
        <v>955</v>
      </c>
      <c r="BP106" s="218">
        <v>468</v>
      </c>
      <c r="BQ106" s="19">
        <f>+BR106-BP106</f>
        <v>-468</v>
      </c>
      <c r="BR106" s="212"/>
      <c r="BS106" s="19">
        <f>+BT106-BR106</f>
        <v>0</v>
      </c>
      <c r="BT106" s="212"/>
      <c r="BU106" s="19">
        <f>+BV106-BT106</f>
        <v>0</v>
      </c>
      <c r="BV106" s="242"/>
    </row>
    <row r="107" spans="2:74" s="58" customFormat="1" ht="12.75">
      <c r="B107" s="136" t="s">
        <v>133</v>
      </c>
      <c r="D107" s="218">
        <v>8968</v>
      </c>
      <c r="E107" s="19">
        <f>+F107-D107</f>
        <v>18632</v>
      </c>
      <c r="F107" s="212">
        <v>27600</v>
      </c>
      <c r="G107" s="19">
        <f>+H107-F107</f>
        <v>13088</v>
      </c>
      <c r="H107" s="212">
        <v>40688</v>
      </c>
      <c r="I107" s="19">
        <f>+J107-H107</f>
        <v>14719</v>
      </c>
      <c r="J107" s="242">
        <v>55407</v>
      </c>
      <c r="L107" s="218">
        <v>10717</v>
      </c>
      <c r="M107" s="19">
        <f>+N107-L107</f>
        <v>25850</v>
      </c>
      <c r="N107" s="212">
        <v>36567</v>
      </c>
      <c r="O107" s="19">
        <f>+P107-N107</f>
        <v>21909</v>
      </c>
      <c r="P107" s="212">
        <v>58476</v>
      </c>
      <c r="Q107" s="19">
        <f>+R107-P107</f>
        <v>20088</v>
      </c>
      <c r="R107" s="242">
        <v>78564</v>
      </c>
      <c r="T107" s="218">
        <v>17986</v>
      </c>
      <c r="U107" s="19">
        <f>+V107-T107</f>
        <v>18581</v>
      </c>
      <c r="V107" s="212">
        <v>36567</v>
      </c>
      <c r="W107" s="19">
        <f>+X107-V107</f>
        <v>21909</v>
      </c>
      <c r="X107" s="212">
        <v>58476</v>
      </c>
      <c r="Y107" s="19">
        <f>+Z107-X107</f>
        <v>19439</v>
      </c>
      <c r="Z107" s="242">
        <v>77915</v>
      </c>
      <c r="AB107" s="218">
        <v>17470</v>
      </c>
      <c r="AC107" s="19">
        <f>+AD107-AB107</f>
        <v>17619</v>
      </c>
      <c r="AD107" s="212">
        <v>35089</v>
      </c>
      <c r="AE107" s="19">
        <f>+AF107-AD107</f>
        <v>18225</v>
      </c>
      <c r="AF107" s="212">
        <v>53314</v>
      </c>
      <c r="AG107" s="19">
        <f>+AH107-AF107</f>
        <v>17638</v>
      </c>
      <c r="AH107" s="242">
        <v>70952</v>
      </c>
      <c r="AJ107" s="218">
        <v>18497</v>
      </c>
      <c r="AK107" s="19">
        <f>+AL107-AJ107</f>
        <v>17625</v>
      </c>
      <c r="AL107" s="212">
        <v>36122</v>
      </c>
      <c r="AM107" s="19">
        <f>+AN107-AL107</f>
        <v>17963</v>
      </c>
      <c r="AN107" s="212">
        <v>54085</v>
      </c>
      <c r="AO107" s="19">
        <f>+AP107-AN107</f>
        <v>16751</v>
      </c>
      <c r="AP107" s="242">
        <v>70836</v>
      </c>
      <c r="AR107" s="218">
        <v>14872</v>
      </c>
      <c r="AS107" s="19">
        <f>+AT107-AR107</f>
        <v>13811</v>
      </c>
      <c r="AT107" s="212">
        <v>28683</v>
      </c>
      <c r="AU107" s="19">
        <f>+AV107-AT107</f>
        <v>12890</v>
      </c>
      <c r="AV107" s="212">
        <v>41573</v>
      </c>
      <c r="AW107" s="19">
        <f>+AX107-AV107</f>
        <v>12429</v>
      </c>
      <c r="AX107" s="242">
        <v>54002</v>
      </c>
      <c r="AZ107" s="218">
        <v>2446</v>
      </c>
      <c r="BA107" s="19">
        <f>+BB107-AZ107</f>
        <v>15209</v>
      </c>
      <c r="BB107" s="212">
        <v>17655</v>
      </c>
      <c r="BC107" s="19">
        <f t="shared" si="85"/>
        <v>7722</v>
      </c>
      <c r="BD107" s="212">
        <v>25377</v>
      </c>
      <c r="BE107" s="19">
        <f t="shared" si="85"/>
        <v>7911</v>
      </c>
      <c r="BF107" s="242">
        <v>33288</v>
      </c>
      <c r="BH107" s="218">
        <v>6138</v>
      </c>
      <c r="BI107" s="19">
        <f>+BJ107-BH107</f>
        <v>6141</v>
      </c>
      <c r="BJ107" s="212">
        <v>12279</v>
      </c>
      <c r="BK107" s="19">
        <f>+BL107-BJ107</f>
        <v>5525</v>
      </c>
      <c r="BL107" s="212">
        <v>17804</v>
      </c>
      <c r="BM107" s="19">
        <f>+BN107-BL107</f>
        <v>6216</v>
      </c>
      <c r="BN107" s="242">
        <v>24020</v>
      </c>
      <c r="BP107" s="218">
        <v>4949</v>
      </c>
      <c r="BQ107" s="19">
        <f>+BR107-BP107</f>
        <v>-4949</v>
      </c>
      <c r="BR107" s="212"/>
      <c r="BS107" s="19">
        <f>+BT107-BR107</f>
        <v>0</v>
      </c>
      <c r="BT107" s="212"/>
      <c r="BU107" s="19">
        <f>+BV107-BT107</f>
        <v>0</v>
      </c>
      <c r="BV107" s="242"/>
    </row>
    <row r="108" spans="2:74" ht="12.75">
      <c r="B108" s="266" t="s">
        <v>352</v>
      </c>
      <c r="D108" s="167">
        <f>+D104+D105+D106+D107</f>
        <v>13764</v>
      </c>
      <c r="E108" s="24">
        <f aca="true" t="shared" si="86" ref="E108:J108">+E104+E105+E106+E107</f>
        <v>22821</v>
      </c>
      <c r="F108" s="24">
        <f t="shared" si="86"/>
        <v>36585</v>
      </c>
      <c r="G108" s="24">
        <f t="shared" si="86"/>
        <v>17528</v>
      </c>
      <c r="H108" s="24">
        <f t="shared" si="86"/>
        <v>54113</v>
      </c>
      <c r="I108" s="24">
        <f t="shared" si="86"/>
        <v>19702</v>
      </c>
      <c r="J108" s="278">
        <f t="shared" si="86"/>
        <v>73815</v>
      </c>
      <c r="K108" s="142"/>
      <c r="L108" s="167">
        <f>+L104+L105+L106+L107</f>
        <v>15029</v>
      </c>
      <c r="M108" s="24">
        <f aca="true" t="shared" si="87" ref="M108:R108">+M104+M105+M106+M107</f>
        <v>30010</v>
      </c>
      <c r="N108" s="24">
        <f t="shared" si="87"/>
        <v>45039</v>
      </c>
      <c r="O108" s="24">
        <f t="shared" si="87"/>
        <v>26394</v>
      </c>
      <c r="P108" s="24">
        <f t="shared" si="87"/>
        <v>71433</v>
      </c>
      <c r="Q108" s="24">
        <f t="shared" si="87"/>
        <v>24747</v>
      </c>
      <c r="R108" s="278">
        <f t="shared" si="87"/>
        <v>96180</v>
      </c>
      <c r="S108" s="142"/>
      <c r="T108" s="167">
        <f>+T104+T105+T106+T107</f>
        <v>22298</v>
      </c>
      <c r="U108" s="24">
        <f aca="true" t="shared" si="88" ref="U108:Z108">+U104+U105+U106+U107</f>
        <v>22741</v>
      </c>
      <c r="V108" s="24">
        <f t="shared" si="88"/>
        <v>45039</v>
      </c>
      <c r="W108" s="24">
        <f t="shared" si="88"/>
        <v>26394</v>
      </c>
      <c r="X108" s="24">
        <f t="shared" si="88"/>
        <v>71433</v>
      </c>
      <c r="Y108" s="24">
        <f t="shared" si="88"/>
        <v>24098</v>
      </c>
      <c r="Z108" s="278">
        <f t="shared" si="88"/>
        <v>95531</v>
      </c>
      <c r="AA108" s="142"/>
      <c r="AB108" s="167">
        <f>+AB104+AB105+AB106+AB107</f>
        <v>22096</v>
      </c>
      <c r="AC108" s="24">
        <f aca="true" t="shared" si="89" ref="AC108:AH108">+AC104+AC105+AC106+AC107</f>
        <v>21962</v>
      </c>
      <c r="AD108" s="24">
        <f t="shared" si="89"/>
        <v>44058</v>
      </c>
      <c r="AE108" s="24">
        <f t="shared" si="89"/>
        <v>23595</v>
      </c>
      <c r="AF108" s="24">
        <f t="shared" si="89"/>
        <v>67653</v>
      </c>
      <c r="AG108" s="24">
        <f t="shared" si="89"/>
        <v>21780</v>
      </c>
      <c r="AH108" s="278">
        <f t="shared" si="89"/>
        <v>89433</v>
      </c>
      <c r="AI108" s="142"/>
      <c r="AJ108" s="167">
        <f>+AJ104+AJ105+AJ106+AJ107</f>
        <v>23088</v>
      </c>
      <c r="AK108" s="24">
        <f aca="true" t="shared" si="90" ref="AK108:AP108">+AK104+AK105+AK106+AK107</f>
        <v>22113</v>
      </c>
      <c r="AL108" s="24">
        <f t="shared" si="90"/>
        <v>45201</v>
      </c>
      <c r="AM108" s="24">
        <f t="shared" si="90"/>
        <v>23340</v>
      </c>
      <c r="AN108" s="24">
        <f t="shared" si="90"/>
        <v>68541</v>
      </c>
      <c r="AO108" s="24">
        <f t="shared" si="90"/>
        <v>22653</v>
      </c>
      <c r="AP108" s="278">
        <f t="shared" si="90"/>
        <v>91194</v>
      </c>
      <c r="AR108" s="167">
        <f>+SUM(AR104:AR107)</f>
        <v>20215</v>
      </c>
      <c r="AS108" s="24">
        <f aca="true" t="shared" si="91" ref="AS108:AX108">+AS104+AS105+AS106+AS107</f>
        <v>18466</v>
      </c>
      <c r="AT108" s="24">
        <f t="shared" si="91"/>
        <v>38681</v>
      </c>
      <c r="AU108" s="24">
        <f t="shared" si="91"/>
        <v>17909</v>
      </c>
      <c r="AV108" s="24">
        <f t="shared" si="91"/>
        <v>56590</v>
      </c>
      <c r="AW108" s="24">
        <f t="shared" si="91"/>
        <v>17154</v>
      </c>
      <c r="AX108" s="278">
        <f t="shared" si="91"/>
        <v>73744</v>
      </c>
      <c r="AZ108" s="167">
        <f>+SUM(AZ104:AZ107)</f>
        <v>7789</v>
      </c>
      <c r="BA108" s="24">
        <f aca="true" t="shared" si="92" ref="BA108:BF108">+BA104+BA105+BA106+BA107</f>
        <v>19864</v>
      </c>
      <c r="BB108" s="24">
        <f t="shared" si="92"/>
        <v>27653</v>
      </c>
      <c r="BC108" s="24">
        <f t="shared" si="92"/>
        <v>12741</v>
      </c>
      <c r="BD108" s="24">
        <f t="shared" si="92"/>
        <v>40394</v>
      </c>
      <c r="BE108" s="24">
        <f>+BE104+BE105+BE106+BE107</f>
        <v>12636</v>
      </c>
      <c r="BF108" s="278">
        <f t="shared" si="92"/>
        <v>53030</v>
      </c>
      <c r="BH108" s="167">
        <f>+SUM(BH104:BH107)</f>
        <v>10872</v>
      </c>
      <c r="BI108" s="24">
        <f>+BJ108-BH108</f>
        <v>10203</v>
      </c>
      <c r="BJ108" s="24">
        <f>+SUM(BJ104:BJ107)</f>
        <v>21075</v>
      </c>
      <c r="BK108" s="24">
        <f>+BL108-BJ108</f>
        <v>10367</v>
      </c>
      <c r="BL108" s="24">
        <f>+SUM(BL104:BL107)</f>
        <v>31442</v>
      </c>
      <c r="BM108" s="24">
        <f>+BN108-BL108</f>
        <v>11376</v>
      </c>
      <c r="BN108" s="278">
        <f>+SUM(BN104:BN107)</f>
        <v>42818</v>
      </c>
      <c r="BP108" s="167">
        <f>+SUM(BP104:BP107)</f>
        <v>10191</v>
      </c>
      <c r="BQ108" s="24">
        <f>+BR108-BP108</f>
        <v>-10191</v>
      </c>
      <c r="BR108" s="24">
        <f>+SUM(BR104:BR107)</f>
        <v>0</v>
      </c>
      <c r="BS108" s="24">
        <f>+BT108-BR108</f>
        <v>0</v>
      </c>
      <c r="BT108" s="24">
        <f>+SUM(BT104:BT107)</f>
        <v>0</v>
      </c>
      <c r="BU108" s="24">
        <f>+BV108-BT108</f>
        <v>0</v>
      </c>
      <c r="BV108" s="278">
        <f>+SUM(BV104:BV107)</f>
        <v>0</v>
      </c>
    </row>
    <row r="109" spans="2:74" ht="12.75">
      <c r="B109" s="159"/>
      <c r="D109" s="103"/>
      <c r="F109" s="40"/>
      <c r="H109" s="40"/>
      <c r="I109" s="19"/>
      <c r="J109" s="85"/>
      <c r="L109" s="103"/>
      <c r="N109" s="40"/>
      <c r="P109" s="40"/>
      <c r="Q109" s="19"/>
      <c r="R109" s="85"/>
      <c r="T109" s="103"/>
      <c r="V109" s="40"/>
      <c r="X109" s="40"/>
      <c r="Y109" s="19"/>
      <c r="Z109" s="85"/>
      <c r="AB109" s="103"/>
      <c r="AD109" s="40"/>
      <c r="AF109" s="40"/>
      <c r="AG109" s="19"/>
      <c r="AH109" s="85"/>
      <c r="AJ109" s="103"/>
      <c r="AL109" s="40"/>
      <c r="AN109" s="40"/>
      <c r="AO109" s="19"/>
      <c r="AP109" s="85"/>
      <c r="AR109" s="103"/>
      <c r="AT109" s="40"/>
      <c r="AV109" s="25"/>
      <c r="AW109" s="19"/>
      <c r="AX109" s="85"/>
      <c r="AZ109" s="103"/>
      <c r="BB109" s="40"/>
      <c r="BD109" s="25"/>
      <c r="BF109" s="85"/>
      <c r="BH109" s="103"/>
      <c r="BI109" s="19"/>
      <c r="BJ109" s="40"/>
      <c r="BK109" s="19"/>
      <c r="BL109" s="25"/>
      <c r="BM109" s="19"/>
      <c r="BN109" s="85"/>
      <c r="BP109" s="103"/>
      <c r="BQ109" s="19"/>
      <c r="BR109" s="40"/>
      <c r="BS109" s="19"/>
      <c r="BT109" s="25"/>
      <c r="BU109" s="19"/>
      <c r="BV109" s="85"/>
    </row>
    <row r="110" spans="2:74" ht="12.75">
      <c r="B110" s="132" t="s">
        <v>134</v>
      </c>
      <c r="D110" s="103"/>
      <c r="E110" s="164"/>
      <c r="F110" s="40"/>
      <c r="G110" s="164"/>
      <c r="H110" s="40"/>
      <c r="I110" s="19"/>
      <c r="J110" s="85"/>
      <c r="L110" s="103"/>
      <c r="M110" s="164"/>
      <c r="N110" s="40"/>
      <c r="O110" s="164"/>
      <c r="P110" s="40"/>
      <c r="Q110" s="19"/>
      <c r="R110" s="85"/>
      <c r="T110" s="103"/>
      <c r="U110" s="164"/>
      <c r="V110" s="40"/>
      <c r="W110" s="164"/>
      <c r="X110" s="40"/>
      <c r="Y110" s="19"/>
      <c r="Z110" s="85"/>
      <c r="AB110" s="103"/>
      <c r="AC110" s="164"/>
      <c r="AD110" s="40"/>
      <c r="AE110" s="164"/>
      <c r="AF110" s="40"/>
      <c r="AG110" s="19"/>
      <c r="AH110" s="85"/>
      <c r="AJ110" s="103"/>
      <c r="AK110" s="164"/>
      <c r="AL110" s="40"/>
      <c r="AM110" s="164"/>
      <c r="AN110" s="40"/>
      <c r="AO110" s="19"/>
      <c r="AP110" s="85"/>
      <c r="AR110" s="103"/>
      <c r="AS110" s="164"/>
      <c r="AT110" s="40"/>
      <c r="AU110" s="164"/>
      <c r="AV110" s="25"/>
      <c r="AW110" s="19"/>
      <c r="AX110" s="85"/>
      <c r="AZ110" s="103"/>
      <c r="BA110" s="164"/>
      <c r="BB110" s="40"/>
      <c r="BC110" s="164"/>
      <c r="BD110" s="25"/>
      <c r="BE110" s="164"/>
      <c r="BF110" s="85"/>
      <c r="BH110" s="103"/>
      <c r="BI110" s="19"/>
      <c r="BJ110" s="40"/>
      <c r="BK110" s="19"/>
      <c r="BL110" s="25"/>
      <c r="BM110" s="19"/>
      <c r="BN110" s="85"/>
      <c r="BP110" s="103"/>
      <c r="BQ110" s="19"/>
      <c r="BR110" s="40"/>
      <c r="BS110" s="19"/>
      <c r="BT110" s="25"/>
      <c r="BU110" s="19"/>
      <c r="BV110" s="85"/>
    </row>
    <row r="111" spans="2:74" s="58" customFormat="1" ht="11.25" customHeight="1">
      <c r="B111" s="273" t="s">
        <v>382</v>
      </c>
      <c r="D111" s="215">
        <v>4608</v>
      </c>
      <c r="E111" s="40">
        <f>+F111-D111</f>
        <v>4779</v>
      </c>
      <c r="F111" s="210">
        <v>9387</v>
      </c>
      <c r="G111" s="19">
        <f>+H111-F111</f>
        <v>4760</v>
      </c>
      <c r="H111" s="210">
        <v>14147</v>
      </c>
      <c r="I111" s="19">
        <f>+J111-H111</f>
        <v>5002</v>
      </c>
      <c r="J111" s="237">
        <v>19149</v>
      </c>
      <c r="L111" s="215">
        <v>5210</v>
      </c>
      <c r="M111" s="40">
        <f>+N111-L111</f>
        <v>5142</v>
      </c>
      <c r="N111" s="210">
        <v>10352</v>
      </c>
      <c r="O111" s="19">
        <f>+P111-N111</f>
        <v>5100</v>
      </c>
      <c r="P111" s="210">
        <v>15452</v>
      </c>
      <c r="Q111" s="19">
        <f>+R111-P111</f>
        <v>4957</v>
      </c>
      <c r="R111" s="237">
        <v>20409</v>
      </c>
      <c r="T111" s="215">
        <v>5210</v>
      </c>
      <c r="U111" s="40">
        <f>+V111-T111</f>
        <v>5142</v>
      </c>
      <c r="V111" s="210">
        <v>10352</v>
      </c>
      <c r="W111" s="19">
        <f>+X111-V111</f>
        <v>5100</v>
      </c>
      <c r="X111" s="210">
        <v>15452</v>
      </c>
      <c r="Y111" s="19">
        <f>+Z111-X111</f>
        <v>4957</v>
      </c>
      <c r="Z111" s="237">
        <v>20409</v>
      </c>
      <c r="AB111" s="215">
        <v>4757</v>
      </c>
      <c r="AC111" s="40">
        <f>+AD111-AB111</f>
        <v>4316</v>
      </c>
      <c r="AD111" s="210">
        <v>9073</v>
      </c>
      <c r="AE111" s="19">
        <f>+AF111-AD111</f>
        <v>4203</v>
      </c>
      <c r="AF111" s="210">
        <v>13276</v>
      </c>
      <c r="AG111" s="19">
        <f>+AH111-AF111</f>
        <v>3832</v>
      </c>
      <c r="AH111" s="237">
        <v>17108</v>
      </c>
      <c r="AJ111" s="215">
        <v>3041</v>
      </c>
      <c r="AK111" s="40">
        <f>+AL111-AJ111</f>
        <v>2881</v>
      </c>
      <c r="AL111" s="210">
        <v>5922</v>
      </c>
      <c r="AM111" s="19">
        <f>+AN111-AL111</f>
        <v>2878</v>
      </c>
      <c r="AN111" s="210">
        <v>8800</v>
      </c>
      <c r="AO111" s="19">
        <f>+AP111-AN111</f>
        <v>2782</v>
      </c>
      <c r="AP111" s="237">
        <v>11582</v>
      </c>
      <c r="AR111" s="215">
        <v>2606</v>
      </c>
      <c r="AS111" s="40">
        <f>+AT111-AR111</f>
        <v>2554</v>
      </c>
      <c r="AT111" s="210">
        <v>5160</v>
      </c>
      <c r="AU111" s="19">
        <f>+AV111-AT111</f>
        <v>2837</v>
      </c>
      <c r="AV111" s="210">
        <v>7997</v>
      </c>
      <c r="AW111" s="19">
        <f>+AX111-AV111</f>
        <v>2930</v>
      </c>
      <c r="AX111" s="237">
        <v>10927</v>
      </c>
      <c r="AZ111" s="215">
        <v>2606</v>
      </c>
      <c r="BA111" s="40">
        <f>+BB111-AZ111</f>
        <v>2554</v>
      </c>
      <c r="BB111" s="210">
        <v>5160</v>
      </c>
      <c r="BC111" s="19">
        <f aca="true" t="shared" si="93" ref="BC111:BE112">+BD111-BB111</f>
        <v>2837</v>
      </c>
      <c r="BD111" s="210">
        <v>7997</v>
      </c>
      <c r="BE111" s="19">
        <f t="shared" si="93"/>
        <v>2930</v>
      </c>
      <c r="BF111" s="237">
        <v>10927</v>
      </c>
      <c r="BH111" s="215">
        <v>3373</v>
      </c>
      <c r="BI111" s="19">
        <f>+BJ111-BH111</f>
        <v>3327</v>
      </c>
      <c r="BJ111" s="210">
        <v>6700</v>
      </c>
      <c r="BK111" s="19">
        <f>+BL111-BJ111</f>
        <v>3537</v>
      </c>
      <c r="BL111" s="210">
        <v>10237</v>
      </c>
      <c r="BM111" s="19">
        <f>+BN111-BL111</f>
        <v>3457</v>
      </c>
      <c r="BN111" s="237">
        <v>13694</v>
      </c>
      <c r="BP111" s="215">
        <v>3745</v>
      </c>
      <c r="BQ111" s="19">
        <f>+BR111-BP111</f>
        <v>-3745</v>
      </c>
      <c r="BR111" s="210"/>
      <c r="BS111" s="19">
        <f>+BT111-BR111</f>
        <v>0</v>
      </c>
      <c r="BT111" s="210"/>
      <c r="BU111" s="19">
        <f>+BV111-BT111</f>
        <v>0</v>
      </c>
      <c r="BV111" s="237"/>
    </row>
    <row r="112" spans="2:74" s="58" customFormat="1" ht="15" customHeight="1">
      <c r="B112" s="155" t="s">
        <v>104</v>
      </c>
      <c r="D112" s="215">
        <f>2602+115+236+875+5328</f>
        <v>9156</v>
      </c>
      <c r="E112" s="40">
        <f>+F112-D112</f>
        <v>18042</v>
      </c>
      <c r="F112" s="210">
        <v>27198</v>
      </c>
      <c r="G112" s="19">
        <f>+H112-F112</f>
        <v>12768</v>
      </c>
      <c r="H112" s="210">
        <v>39966</v>
      </c>
      <c r="I112" s="19">
        <f>+J112-H112</f>
        <v>14700</v>
      </c>
      <c r="J112" s="237">
        <v>54666</v>
      </c>
      <c r="L112" s="215">
        <f>2724+52+238+531+6274</f>
        <v>9819</v>
      </c>
      <c r="M112" s="40">
        <f>+N112-L112</f>
        <v>24868</v>
      </c>
      <c r="N112" s="210">
        <v>34687</v>
      </c>
      <c r="O112" s="19">
        <f>+P112-N112</f>
        <v>21294</v>
      </c>
      <c r="P112" s="210">
        <v>55981</v>
      </c>
      <c r="Q112" s="19">
        <f>+R112-P112</f>
        <v>19790</v>
      </c>
      <c r="R112" s="237">
        <v>75771</v>
      </c>
      <c r="T112" s="215">
        <v>17088</v>
      </c>
      <c r="U112" s="40">
        <f>+V112-T112</f>
        <v>17599</v>
      </c>
      <c r="V112" s="210">
        <v>34687</v>
      </c>
      <c r="W112" s="19">
        <f>+X112-V112</f>
        <v>21294</v>
      </c>
      <c r="X112" s="210">
        <v>55981</v>
      </c>
      <c r="Y112" s="19">
        <f>+Z112-X112</f>
        <v>19141</v>
      </c>
      <c r="Z112" s="237">
        <v>75122</v>
      </c>
      <c r="AB112" s="215">
        <v>17339</v>
      </c>
      <c r="AC112" s="40">
        <f>+AD112-AB112</f>
        <v>17646</v>
      </c>
      <c r="AD112" s="210">
        <v>34985</v>
      </c>
      <c r="AE112" s="19">
        <f>+AF112-AD112</f>
        <v>19392</v>
      </c>
      <c r="AF112" s="210">
        <v>54377</v>
      </c>
      <c r="AG112" s="19">
        <f>+AH112-AF112</f>
        <v>17948</v>
      </c>
      <c r="AH112" s="237">
        <v>72325</v>
      </c>
      <c r="AJ112" s="215">
        <v>20046</v>
      </c>
      <c r="AK112" s="40">
        <f>+AL112-AJ112</f>
        <v>19233</v>
      </c>
      <c r="AL112" s="210">
        <v>39279</v>
      </c>
      <c r="AM112" s="19">
        <f>+AN112-AL112</f>
        <v>20462</v>
      </c>
      <c r="AN112" s="210">
        <v>59741</v>
      </c>
      <c r="AO112" s="19">
        <f>+AP112-AN112</f>
        <v>19871</v>
      </c>
      <c r="AP112" s="237">
        <v>79612</v>
      </c>
      <c r="AR112" s="215">
        <v>17609</v>
      </c>
      <c r="AS112" s="40">
        <f>+AT112-AR112</f>
        <v>15912</v>
      </c>
      <c r="AT112" s="210">
        <v>33521</v>
      </c>
      <c r="AU112" s="19">
        <f>+AV112-AT112</f>
        <v>15072</v>
      </c>
      <c r="AV112" s="210">
        <v>48593</v>
      </c>
      <c r="AW112" s="19">
        <f>+AX112-AV112</f>
        <v>14224</v>
      </c>
      <c r="AX112" s="237">
        <v>62817</v>
      </c>
      <c r="AZ112" s="215">
        <v>5183</v>
      </c>
      <c r="BA112" s="40">
        <f>+BB112-AZ112</f>
        <v>17310</v>
      </c>
      <c r="BB112" s="210">
        <v>22493</v>
      </c>
      <c r="BC112" s="19">
        <f t="shared" si="93"/>
        <v>9904</v>
      </c>
      <c r="BD112" s="210">
        <v>32397</v>
      </c>
      <c r="BE112" s="19">
        <f t="shared" si="93"/>
        <v>9706</v>
      </c>
      <c r="BF112" s="237">
        <v>42103</v>
      </c>
      <c r="BH112" s="215">
        <v>7499</v>
      </c>
      <c r="BI112" s="19">
        <f>+BJ112-BH112</f>
        <v>6876</v>
      </c>
      <c r="BJ112" s="210">
        <v>14375</v>
      </c>
      <c r="BK112" s="19">
        <f>+BL112-BJ112</f>
        <v>6830</v>
      </c>
      <c r="BL112" s="210">
        <v>21205</v>
      </c>
      <c r="BM112" s="19">
        <f>+BN112-BL112</f>
        <v>7919</v>
      </c>
      <c r="BN112" s="237">
        <v>29124</v>
      </c>
      <c r="BP112" s="215">
        <v>6446</v>
      </c>
      <c r="BQ112" s="19">
        <f>+BR112-BP112</f>
        <v>-6446</v>
      </c>
      <c r="BR112" s="210"/>
      <c r="BS112" s="19">
        <f>+BT112-BR112</f>
        <v>0</v>
      </c>
      <c r="BT112" s="210"/>
      <c r="BU112" s="19">
        <f>+BV112-BT112</f>
        <v>0</v>
      </c>
      <c r="BV112" s="237"/>
    </row>
    <row r="113" spans="2:74" ht="12.75">
      <c r="B113" s="295" t="s">
        <v>135</v>
      </c>
      <c r="D113" s="267">
        <f>+D111+D112</f>
        <v>13764</v>
      </c>
      <c r="E113" s="268">
        <f aca="true" t="shared" si="94" ref="E113:J113">+E111+E112</f>
        <v>22821</v>
      </c>
      <c r="F113" s="268">
        <f t="shared" si="94"/>
        <v>36585</v>
      </c>
      <c r="G113" s="268">
        <f t="shared" si="94"/>
        <v>17528</v>
      </c>
      <c r="H113" s="268">
        <f t="shared" si="94"/>
        <v>54113</v>
      </c>
      <c r="I113" s="268">
        <f t="shared" si="94"/>
        <v>19702</v>
      </c>
      <c r="J113" s="269">
        <f t="shared" si="94"/>
        <v>73815</v>
      </c>
      <c r="L113" s="267">
        <f>+L111+L112</f>
        <v>15029</v>
      </c>
      <c r="M113" s="268">
        <f aca="true" t="shared" si="95" ref="M113:R113">+M111+M112</f>
        <v>30010</v>
      </c>
      <c r="N113" s="268">
        <f t="shared" si="95"/>
        <v>45039</v>
      </c>
      <c r="O113" s="268">
        <f t="shared" si="95"/>
        <v>26394</v>
      </c>
      <c r="P113" s="268">
        <f t="shared" si="95"/>
        <v>71433</v>
      </c>
      <c r="Q113" s="268">
        <f t="shared" si="95"/>
        <v>24747</v>
      </c>
      <c r="R113" s="269">
        <f t="shared" si="95"/>
        <v>96180</v>
      </c>
      <c r="T113" s="267">
        <f>+T111+T112</f>
        <v>22298</v>
      </c>
      <c r="U113" s="268">
        <f aca="true" t="shared" si="96" ref="U113:Z113">+U111+U112</f>
        <v>22741</v>
      </c>
      <c r="V113" s="268">
        <f t="shared" si="96"/>
        <v>45039</v>
      </c>
      <c r="W113" s="268">
        <f t="shared" si="96"/>
        <v>26394</v>
      </c>
      <c r="X113" s="268">
        <f t="shared" si="96"/>
        <v>71433</v>
      </c>
      <c r="Y113" s="268">
        <f t="shared" si="96"/>
        <v>24098</v>
      </c>
      <c r="Z113" s="269">
        <f t="shared" si="96"/>
        <v>95531</v>
      </c>
      <c r="AB113" s="267">
        <f>+AB111+AB112</f>
        <v>22096</v>
      </c>
      <c r="AC113" s="268">
        <f aca="true" t="shared" si="97" ref="AC113:AH113">+AC111+AC112</f>
        <v>21962</v>
      </c>
      <c r="AD113" s="268">
        <f t="shared" si="97"/>
        <v>44058</v>
      </c>
      <c r="AE113" s="268">
        <f t="shared" si="97"/>
        <v>23595</v>
      </c>
      <c r="AF113" s="268">
        <f t="shared" si="97"/>
        <v>67653</v>
      </c>
      <c r="AG113" s="268">
        <f t="shared" si="97"/>
        <v>21780</v>
      </c>
      <c r="AH113" s="269">
        <f t="shared" si="97"/>
        <v>89433</v>
      </c>
      <c r="AJ113" s="267">
        <f>+AJ111+AJ112</f>
        <v>23087</v>
      </c>
      <c r="AK113" s="268">
        <f aca="true" t="shared" si="98" ref="AK113:AP113">+AK111+AK112</f>
        <v>22114</v>
      </c>
      <c r="AL113" s="268">
        <f t="shared" si="98"/>
        <v>45201</v>
      </c>
      <c r="AM113" s="268">
        <f t="shared" si="98"/>
        <v>23340</v>
      </c>
      <c r="AN113" s="268">
        <f t="shared" si="98"/>
        <v>68541</v>
      </c>
      <c r="AO113" s="268">
        <f t="shared" si="98"/>
        <v>22653</v>
      </c>
      <c r="AP113" s="269">
        <f t="shared" si="98"/>
        <v>91194</v>
      </c>
      <c r="AR113" s="267">
        <f>+AR111+AR112</f>
        <v>20215</v>
      </c>
      <c r="AS113" s="268">
        <f aca="true" t="shared" si="99" ref="AS113:AX113">+AS111+AS112</f>
        <v>18466</v>
      </c>
      <c r="AT113" s="268">
        <f t="shared" si="99"/>
        <v>38681</v>
      </c>
      <c r="AU113" s="268">
        <f t="shared" si="99"/>
        <v>17909</v>
      </c>
      <c r="AV113" s="339">
        <f t="shared" si="99"/>
        <v>56590</v>
      </c>
      <c r="AW113" s="268">
        <f t="shared" si="99"/>
        <v>17154</v>
      </c>
      <c r="AX113" s="269">
        <f t="shared" si="99"/>
        <v>73744</v>
      </c>
      <c r="AZ113" s="267">
        <f>+AZ111+AZ112</f>
        <v>7789</v>
      </c>
      <c r="BA113" s="268">
        <f aca="true" t="shared" si="100" ref="BA113:BF113">+BA111+BA112</f>
        <v>19864</v>
      </c>
      <c r="BB113" s="268">
        <f t="shared" si="100"/>
        <v>27653</v>
      </c>
      <c r="BC113" s="268">
        <f t="shared" si="100"/>
        <v>12741</v>
      </c>
      <c r="BD113" s="339">
        <f t="shared" si="100"/>
        <v>40394</v>
      </c>
      <c r="BE113" s="268">
        <f>+BE111+BE112</f>
        <v>12636</v>
      </c>
      <c r="BF113" s="269">
        <f t="shared" si="100"/>
        <v>53030</v>
      </c>
      <c r="BH113" s="267">
        <f>+BH111+BH112</f>
        <v>10872</v>
      </c>
      <c r="BI113" s="339">
        <f>+BJ113-BH113</f>
        <v>10203</v>
      </c>
      <c r="BJ113" s="268">
        <f>+SUM(BJ111:BJ112)</f>
        <v>21075</v>
      </c>
      <c r="BK113" s="339">
        <f>+BL113-BJ113</f>
        <v>10367</v>
      </c>
      <c r="BL113" s="268">
        <f>+SUM(BL111:BL112)</f>
        <v>31442</v>
      </c>
      <c r="BM113" s="339">
        <f>+BN113-BL113</f>
        <v>11376</v>
      </c>
      <c r="BN113" s="269">
        <f>+SUM(BN111:BN112)</f>
        <v>42818</v>
      </c>
      <c r="BP113" s="267">
        <f>+BP111+BP112</f>
        <v>10191</v>
      </c>
      <c r="BQ113" s="339">
        <f>+BR113-BP113</f>
        <v>-10191</v>
      </c>
      <c r="BR113" s="268">
        <f>+SUM(BR111:BR112)</f>
        <v>0</v>
      </c>
      <c r="BS113" s="339">
        <f>+BT113-BR113</f>
        <v>0</v>
      </c>
      <c r="BT113" s="268">
        <f>+SUM(BT111:BT112)</f>
        <v>0</v>
      </c>
      <c r="BU113" s="339">
        <f>+BV113-BT113</f>
        <v>0</v>
      </c>
      <c r="BV113" s="269">
        <f>+SUM(BV111:BV112)</f>
        <v>0</v>
      </c>
    </row>
    <row r="114" spans="2:58" ht="12.75">
      <c r="B114" s="281"/>
      <c r="D114" s="56"/>
      <c r="E114" s="56"/>
      <c r="F114" s="56"/>
      <c r="G114" s="56"/>
      <c r="H114" s="56"/>
      <c r="I114" s="56"/>
      <c r="J114" s="56"/>
      <c r="L114" s="56"/>
      <c r="M114" s="56"/>
      <c r="N114" s="56"/>
      <c r="O114" s="56"/>
      <c r="P114" s="56"/>
      <c r="Q114" s="56"/>
      <c r="R114" s="56"/>
      <c r="T114" s="56"/>
      <c r="U114" s="56"/>
      <c r="V114" s="56"/>
      <c r="W114" s="56"/>
      <c r="X114" s="56"/>
      <c r="Y114" s="56"/>
      <c r="Z114" s="56"/>
      <c r="AB114" s="56"/>
      <c r="AC114" s="56"/>
      <c r="AD114" s="56"/>
      <c r="AE114" s="56"/>
      <c r="AF114" s="56"/>
      <c r="AG114" s="56"/>
      <c r="AH114" s="56"/>
      <c r="AJ114" s="56"/>
      <c r="AK114" s="56"/>
      <c r="AL114" s="56"/>
      <c r="AM114" s="56"/>
      <c r="AN114" s="56"/>
      <c r="AO114" s="56"/>
      <c r="AP114" s="56"/>
      <c r="AR114" s="56"/>
      <c r="AS114" s="56"/>
      <c r="AT114" s="56"/>
      <c r="AU114" s="56"/>
      <c r="AV114" s="24"/>
      <c r="AW114" s="56"/>
      <c r="AX114" s="56"/>
      <c r="AZ114" s="56"/>
      <c r="BA114" s="56"/>
      <c r="BB114" s="56"/>
      <c r="BC114" s="56"/>
      <c r="BD114" s="24"/>
      <c r="BE114" s="56"/>
      <c r="BF114" s="56"/>
    </row>
    <row r="115" spans="48:56" s="49" customFormat="1" ht="12.75">
      <c r="AV115" s="164"/>
      <c r="BD115" s="164"/>
    </row>
    <row r="116" spans="2:74" s="51" customFormat="1" ht="17.25" customHeight="1">
      <c r="B116" s="129" t="s">
        <v>211</v>
      </c>
      <c r="D116" s="322" t="s">
        <v>220</v>
      </c>
      <c r="E116" s="323" t="s">
        <v>221</v>
      </c>
      <c r="F116" s="323" t="s">
        <v>222</v>
      </c>
      <c r="G116" s="323" t="s">
        <v>223</v>
      </c>
      <c r="H116" s="323" t="s">
        <v>224</v>
      </c>
      <c r="I116" s="323" t="s">
        <v>225</v>
      </c>
      <c r="J116" s="324" t="s">
        <v>226</v>
      </c>
      <c r="L116" s="322" t="s">
        <v>234</v>
      </c>
      <c r="M116" s="323" t="s">
        <v>235</v>
      </c>
      <c r="N116" s="323" t="s">
        <v>236</v>
      </c>
      <c r="O116" s="323" t="s">
        <v>237</v>
      </c>
      <c r="P116" s="323" t="s">
        <v>238</v>
      </c>
      <c r="Q116" s="323" t="s">
        <v>239</v>
      </c>
      <c r="R116" s="324" t="s">
        <v>240</v>
      </c>
      <c r="T116" s="322" t="str">
        <f aca="true" t="shared" si="101" ref="T116:Z116">+T4</f>
        <v>IQ 2014</v>
      </c>
      <c r="U116" s="323" t="str">
        <f t="shared" si="101"/>
        <v>IIQ 2014</v>
      </c>
      <c r="V116" s="323" t="str">
        <f t="shared" si="101"/>
        <v>IH 2014</v>
      </c>
      <c r="W116" s="323" t="str">
        <f t="shared" si="101"/>
        <v>III Q 2014</v>
      </c>
      <c r="X116" s="323" t="str">
        <f t="shared" si="101"/>
        <v>9M 2014</v>
      </c>
      <c r="Y116" s="323" t="str">
        <f t="shared" si="101"/>
        <v>IV Q 2014</v>
      </c>
      <c r="Z116" s="324" t="str">
        <f t="shared" si="101"/>
        <v>FY 2014</v>
      </c>
      <c r="AB116" s="322" t="str">
        <f aca="true" t="shared" si="102" ref="AB116:AH116">+AB4</f>
        <v>IQ 2015</v>
      </c>
      <c r="AC116" s="323" t="str">
        <f t="shared" si="102"/>
        <v>IIQ 2015</v>
      </c>
      <c r="AD116" s="323" t="str">
        <f t="shared" si="102"/>
        <v>IH 2015</v>
      </c>
      <c r="AE116" s="323" t="str">
        <f t="shared" si="102"/>
        <v>III Q 2015</v>
      </c>
      <c r="AF116" s="323" t="str">
        <f t="shared" si="102"/>
        <v>9M 2015</v>
      </c>
      <c r="AG116" s="323" t="str">
        <f t="shared" si="102"/>
        <v>IV Q 2015</v>
      </c>
      <c r="AH116" s="324" t="str">
        <f t="shared" si="102"/>
        <v>FY 2015</v>
      </c>
      <c r="AJ116" s="322" t="s">
        <v>279</v>
      </c>
      <c r="AK116" s="323" t="s">
        <v>280</v>
      </c>
      <c r="AL116" s="323" t="s">
        <v>281</v>
      </c>
      <c r="AM116" s="323" t="s">
        <v>282</v>
      </c>
      <c r="AN116" s="323" t="s">
        <v>283</v>
      </c>
      <c r="AO116" s="323" t="s">
        <v>284</v>
      </c>
      <c r="AP116" s="324" t="s">
        <v>355</v>
      </c>
      <c r="AR116" s="322" t="str">
        <f>+AR101</f>
        <v>IQ 2017</v>
      </c>
      <c r="AS116" s="322" t="str">
        <f aca="true" t="shared" si="103" ref="AS116:AX116">+AS101</f>
        <v>IIQ 2017</v>
      </c>
      <c r="AT116" s="322" t="str">
        <f t="shared" si="103"/>
        <v>IH 2017</v>
      </c>
      <c r="AU116" s="322" t="str">
        <f t="shared" si="103"/>
        <v>III Q 2017</v>
      </c>
      <c r="AV116" s="322" t="str">
        <f t="shared" si="103"/>
        <v>9M 2017</v>
      </c>
      <c r="AW116" s="322" t="str">
        <f t="shared" si="103"/>
        <v>IV Q 2017</v>
      </c>
      <c r="AX116" s="322" t="str">
        <f t="shared" si="103"/>
        <v>FY 2017</v>
      </c>
      <c r="AZ116" s="322" t="s">
        <v>506</v>
      </c>
      <c r="BA116" s="323" t="s">
        <v>508</v>
      </c>
      <c r="BB116" s="323" t="s">
        <v>561</v>
      </c>
      <c r="BC116" s="323" t="s">
        <v>509</v>
      </c>
      <c r="BD116" s="323" t="s">
        <v>510</v>
      </c>
      <c r="BE116" s="323" t="s">
        <v>511</v>
      </c>
      <c r="BF116" s="324" t="s">
        <v>533</v>
      </c>
      <c r="BH116" s="322" t="str">
        <f>+BH80</f>
        <v>IQ 2018</v>
      </c>
      <c r="BI116" s="323" t="str">
        <f aca="true" t="shared" si="104" ref="BI116:BN116">+BI101</f>
        <v>IIQ 2018 </v>
      </c>
      <c r="BJ116" s="323" t="str">
        <f t="shared" si="104"/>
        <v>IH 2018</v>
      </c>
      <c r="BK116" s="323" t="str">
        <f t="shared" si="104"/>
        <v>III Q 2018</v>
      </c>
      <c r="BL116" s="323" t="str">
        <f t="shared" si="104"/>
        <v>9M 2018</v>
      </c>
      <c r="BM116" s="323" t="str">
        <f t="shared" si="104"/>
        <v>IV Q 2018</v>
      </c>
      <c r="BN116" s="324" t="str">
        <f t="shared" si="104"/>
        <v>FY 2018</v>
      </c>
      <c r="BP116" s="850" t="str">
        <f>+BP80</f>
        <v>IQ 2019</v>
      </c>
      <c r="BQ116" s="851" t="str">
        <f aca="true" t="shared" si="105" ref="BQ116:BV116">+BQ101</f>
        <v>IIQ 2019 </v>
      </c>
      <c r="BR116" s="851" t="str">
        <f t="shared" si="105"/>
        <v>IH 2019</v>
      </c>
      <c r="BS116" s="851" t="str">
        <f t="shared" si="105"/>
        <v>III Q 2019</v>
      </c>
      <c r="BT116" s="851" t="str">
        <f t="shared" si="105"/>
        <v>9M 2019</v>
      </c>
      <c r="BU116" s="851" t="str">
        <f t="shared" si="105"/>
        <v>IV Q 2019</v>
      </c>
      <c r="BV116" s="852" t="str">
        <f t="shared" si="105"/>
        <v>FY 2019</v>
      </c>
    </row>
    <row r="117" spans="2:74" ht="12.75">
      <c r="B117" s="154"/>
      <c r="D117" s="103"/>
      <c r="I117" s="57"/>
      <c r="J117" s="95"/>
      <c r="L117" s="103"/>
      <c r="R117" s="95"/>
      <c r="T117" s="103"/>
      <c r="Z117" s="95"/>
      <c r="AB117" s="103"/>
      <c r="AH117" s="95"/>
      <c r="AJ117" s="181"/>
      <c r="AK117" s="182"/>
      <c r="AL117" s="182"/>
      <c r="AM117" s="182"/>
      <c r="AN117" s="182"/>
      <c r="AO117" s="182"/>
      <c r="AP117" s="183"/>
      <c r="AR117" s="181"/>
      <c r="AS117" s="182"/>
      <c r="AT117" s="182"/>
      <c r="AU117" s="182"/>
      <c r="AV117" s="336"/>
      <c r="AW117" s="182"/>
      <c r="AX117" s="183"/>
      <c r="AZ117" s="181"/>
      <c r="BA117" s="182"/>
      <c r="BB117" s="182"/>
      <c r="BC117" s="182"/>
      <c r="BD117" s="336"/>
      <c r="BE117" s="182"/>
      <c r="BF117" s="183"/>
      <c r="BH117" s="181"/>
      <c r="BI117" s="182"/>
      <c r="BJ117" s="182"/>
      <c r="BK117" s="182"/>
      <c r="BL117" s="336"/>
      <c r="BM117" s="182"/>
      <c r="BN117" s="183"/>
      <c r="BP117" s="181"/>
      <c r="BQ117" s="182"/>
      <c r="BR117" s="182"/>
      <c r="BS117" s="182"/>
      <c r="BT117" s="336"/>
      <c r="BU117" s="182"/>
      <c r="BV117" s="183"/>
    </row>
    <row r="118" spans="2:74" ht="15" customHeight="1">
      <c r="B118" s="294" t="s">
        <v>495</v>
      </c>
      <c r="D118" s="103"/>
      <c r="I118" s="57"/>
      <c r="J118" s="95"/>
      <c r="L118" s="103"/>
      <c r="R118" s="95"/>
      <c r="T118" s="103"/>
      <c r="Z118" s="95"/>
      <c r="AB118" s="103"/>
      <c r="AH118" s="95"/>
      <c r="AJ118" s="103"/>
      <c r="AP118" s="95"/>
      <c r="AR118" s="103"/>
      <c r="AV118" s="164"/>
      <c r="AX118" s="95"/>
      <c r="AZ118" s="103"/>
      <c r="BD118" s="164"/>
      <c r="BF118" s="95"/>
      <c r="BH118" s="103"/>
      <c r="BL118" s="164"/>
      <c r="BN118" s="95"/>
      <c r="BP118" s="103"/>
      <c r="BT118" s="164"/>
      <c r="BV118" s="95"/>
    </row>
    <row r="119" spans="2:74" ht="15.75" customHeight="1">
      <c r="B119" s="168" t="s">
        <v>496</v>
      </c>
      <c r="D119" s="218">
        <v>122</v>
      </c>
      <c r="E119" s="19">
        <f>+F119-D119</f>
        <v>108</v>
      </c>
      <c r="F119" s="212">
        <v>230</v>
      </c>
      <c r="G119" s="19">
        <f>+H119-F119</f>
        <v>93</v>
      </c>
      <c r="H119" s="212">
        <v>323</v>
      </c>
      <c r="I119" s="19">
        <f>+J119-H119</f>
        <v>87</v>
      </c>
      <c r="J119" s="242">
        <v>410</v>
      </c>
      <c r="L119" s="218">
        <v>81</v>
      </c>
      <c r="M119" s="19">
        <f>+N119-L119</f>
        <v>86</v>
      </c>
      <c r="N119" s="212">
        <v>167</v>
      </c>
      <c r="O119" s="19">
        <f>+P119-N119</f>
        <v>118</v>
      </c>
      <c r="P119" s="212">
        <v>285</v>
      </c>
      <c r="Q119" s="19">
        <f>+R119-P119</f>
        <v>132</v>
      </c>
      <c r="R119" s="242">
        <v>417</v>
      </c>
      <c r="T119" s="218">
        <v>81</v>
      </c>
      <c r="U119" s="19">
        <f>+V119-T119</f>
        <v>86</v>
      </c>
      <c r="V119" s="212">
        <v>167</v>
      </c>
      <c r="W119" s="19">
        <f>+X119-V119</f>
        <v>118</v>
      </c>
      <c r="X119" s="212">
        <v>285</v>
      </c>
      <c r="Y119" s="19">
        <f>+Z119-X119</f>
        <v>132</v>
      </c>
      <c r="Z119" s="242">
        <v>417</v>
      </c>
      <c r="AB119" s="218">
        <v>128</v>
      </c>
      <c r="AC119" s="19">
        <f>+AD119-AB119</f>
        <v>125</v>
      </c>
      <c r="AD119" s="212">
        <v>253</v>
      </c>
      <c r="AE119" s="19">
        <f>+AF119-AD119</f>
        <v>120</v>
      </c>
      <c r="AF119" s="212">
        <v>373</v>
      </c>
      <c r="AG119" s="19">
        <f>+AH119-AF119</f>
        <v>112</v>
      </c>
      <c r="AH119" s="242">
        <v>485</v>
      </c>
      <c r="AJ119" s="218">
        <v>111</v>
      </c>
      <c r="AK119" s="19">
        <f>+AL119-AJ119</f>
        <v>130</v>
      </c>
      <c r="AL119" s="212">
        <v>241</v>
      </c>
      <c r="AM119" s="19">
        <f>+AN119-AL119</f>
        <v>143</v>
      </c>
      <c r="AN119" s="212">
        <v>384</v>
      </c>
      <c r="AO119" s="19">
        <f>+AP119-AN119</f>
        <v>137</v>
      </c>
      <c r="AP119" s="242">
        <v>521</v>
      </c>
      <c r="AR119" s="218">
        <v>114</v>
      </c>
      <c r="AS119" s="19">
        <f>+AT119-AR119</f>
        <v>113</v>
      </c>
      <c r="AT119" s="212">
        <v>227</v>
      </c>
      <c r="AU119" s="19">
        <f>+AV119-AT119</f>
        <v>110</v>
      </c>
      <c r="AV119" s="212">
        <v>337</v>
      </c>
      <c r="AW119" s="19">
        <f aca="true" t="shared" si="106" ref="AW119:AW124">+AX119-AV119</f>
        <v>100</v>
      </c>
      <c r="AX119" s="242">
        <v>437</v>
      </c>
      <c r="AZ119" s="218">
        <v>114</v>
      </c>
      <c r="BA119" s="19">
        <f>+BB119-AZ119</f>
        <v>113</v>
      </c>
      <c r="BB119" s="212">
        <v>227</v>
      </c>
      <c r="BC119" s="19">
        <f>+BD119-BB119</f>
        <v>110</v>
      </c>
      <c r="BD119" s="212">
        <v>337</v>
      </c>
      <c r="BE119" s="19">
        <f>+BF119-BD119</f>
        <v>100</v>
      </c>
      <c r="BF119" s="242">
        <v>437</v>
      </c>
      <c r="BH119" s="218">
        <v>97</v>
      </c>
      <c r="BI119" s="19">
        <f>+BJ119-BH119</f>
        <v>94</v>
      </c>
      <c r="BJ119" s="212">
        <v>191</v>
      </c>
      <c r="BK119" s="19">
        <f>+BL119-BJ119</f>
        <v>87</v>
      </c>
      <c r="BL119" s="212">
        <v>278</v>
      </c>
      <c r="BM119" s="19">
        <f>+BN119-BL119</f>
        <v>76</v>
      </c>
      <c r="BN119" s="242">
        <v>354</v>
      </c>
      <c r="BP119" s="218">
        <v>84</v>
      </c>
      <c r="BQ119" s="19">
        <f>+BR119-BP119</f>
        <v>-84</v>
      </c>
      <c r="BR119" s="212"/>
      <c r="BS119" s="19">
        <f>+BT119-BR119</f>
        <v>0</v>
      </c>
      <c r="BT119" s="212"/>
      <c r="BU119" s="19">
        <f>+BV119-BT119</f>
        <v>0</v>
      </c>
      <c r="BV119" s="242"/>
    </row>
    <row r="120" spans="2:74" ht="12.75">
      <c r="B120" s="168" t="s">
        <v>219</v>
      </c>
      <c r="D120" s="218">
        <v>3518</v>
      </c>
      <c r="E120" s="19">
        <f>+F120-D120</f>
        <v>3033</v>
      </c>
      <c r="F120" s="212">
        <v>6551</v>
      </c>
      <c r="G120" s="19">
        <f>+H120-F120</f>
        <v>3070</v>
      </c>
      <c r="H120" s="212">
        <v>9621</v>
      </c>
      <c r="I120" s="25">
        <f>+J120-H120</f>
        <v>2891</v>
      </c>
      <c r="J120" s="242">
        <v>12512</v>
      </c>
      <c r="L120" s="218">
        <v>2718</v>
      </c>
      <c r="M120" s="19">
        <f>+N120-L120</f>
        <v>2209</v>
      </c>
      <c r="N120" s="212">
        <v>4927</v>
      </c>
      <c r="O120" s="19">
        <f>+P120-N120</f>
        <v>2182</v>
      </c>
      <c r="P120" s="212">
        <v>7109</v>
      </c>
      <c r="Q120" s="25">
        <f>+R120-P120</f>
        <v>2806</v>
      </c>
      <c r="R120" s="242">
        <v>9915</v>
      </c>
      <c r="T120" s="218">
        <v>2718</v>
      </c>
      <c r="U120" s="19">
        <f>+V120-T120</f>
        <v>2209</v>
      </c>
      <c r="V120" s="212">
        <v>4927</v>
      </c>
      <c r="W120" s="19">
        <f>+X120-V120</f>
        <v>2182</v>
      </c>
      <c r="X120" s="212">
        <v>7109</v>
      </c>
      <c r="Y120" s="25">
        <f>+Z120-X120</f>
        <v>2806</v>
      </c>
      <c r="Z120" s="242">
        <v>9915</v>
      </c>
      <c r="AB120" s="218">
        <v>3050</v>
      </c>
      <c r="AC120" s="19">
        <f>+AD120-AB120</f>
        <v>3146</v>
      </c>
      <c r="AD120" s="212">
        <v>6196</v>
      </c>
      <c r="AE120" s="19">
        <f>+AF120-AD120</f>
        <v>3039</v>
      </c>
      <c r="AF120" s="212">
        <v>9235</v>
      </c>
      <c r="AG120" s="25">
        <f>+AH120-AF120</f>
        <v>3487</v>
      </c>
      <c r="AH120" s="242">
        <v>12722</v>
      </c>
      <c r="AJ120" s="218">
        <v>3584</v>
      </c>
      <c r="AK120" s="19">
        <f>+AL120-AJ120</f>
        <v>3725</v>
      </c>
      <c r="AL120" s="212">
        <v>7309</v>
      </c>
      <c r="AM120" s="19">
        <f>+AN120-AL120</f>
        <v>3516</v>
      </c>
      <c r="AN120" s="212">
        <v>10825</v>
      </c>
      <c r="AO120" s="25">
        <f aca="true" t="shared" si="107" ref="AO120:AO132">+AP120-AN120</f>
        <v>3790</v>
      </c>
      <c r="AP120" s="242">
        <v>14615</v>
      </c>
      <c r="AR120" s="218">
        <v>3899</v>
      </c>
      <c r="AS120" s="19">
        <f>+AT120-AR120</f>
        <v>3646</v>
      </c>
      <c r="AT120" s="212">
        <v>7545</v>
      </c>
      <c r="AU120" s="19">
        <f>+AV120-AT120</f>
        <v>3577</v>
      </c>
      <c r="AV120" s="212">
        <v>11122</v>
      </c>
      <c r="AW120" s="25">
        <f t="shared" si="106"/>
        <v>3980</v>
      </c>
      <c r="AX120" s="242">
        <v>15102</v>
      </c>
      <c r="AZ120" s="218">
        <v>3899</v>
      </c>
      <c r="BA120" s="19">
        <f>+BB120-AZ120</f>
        <v>3646</v>
      </c>
      <c r="BB120" s="212">
        <v>7545</v>
      </c>
      <c r="BC120" s="19">
        <f aca="true" t="shared" si="108" ref="BC120:BE124">+BD120-BB120</f>
        <v>3577</v>
      </c>
      <c r="BD120" s="212">
        <v>11122</v>
      </c>
      <c r="BE120" s="19">
        <f t="shared" si="108"/>
        <v>3980</v>
      </c>
      <c r="BF120" s="242">
        <v>15102</v>
      </c>
      <c r="BH120" s="218">
        <v>3792</v>
      </c>
      <c r="BI120" s="19">
        <f aca="true" t="shared" si="109" ref="BI120:BM132">+BJ120-BH120</f>
        <v>3220</v>
      </c>
      <c r="BJ120" s="212">
        <v>7012</v>
      </c>
      <c r="BK120" s="19">
        <f t="shared" si="109"/>
        <v>3765</v>
      </c>
      <c r="BL120" s="212">
        <v>10777</v>
      </c>
      <c r="BM120" s="19">
        <f t="shared" si="109"/>
        <v>3789</v>
      </c>
      <c r="BN120" s="242">
        <v>14566</v>
      </c>
      <c r="BP120" s="218">
        <v>3443</v>
      </c>
      <c r="BQ120" s="19">
        <f>+BR120-BP120</f>
        <v>-3443</v>
      </c>
      <c r="BR120" s="212"/>
      <c r="BS120" s="19">
        <f>+BT120-BR120</f>
        <v>0</v>
      </c>
      <c r="BT120" s="212"/>
      <c r="BU120" s="19">
        <f>+BV120-BT120</f>
        <v>0</v>
      </c>
      <c r="BV120" s="242"/>
    </row>
    <row r="121" spans="2:74" ht="12.75">
      <c r="B121" s="168" t="s">
        <v>353</v>
      </c>
      <c r="D121" s="218">
        <v>595</v>
      </c>
      <c r="E121" s="19">
        <f>+F121-D121</f>
        <v>457</v>
      </c>
      <c r="F121" s="212">
        <v>1052</v>
      </c>
      <c r="G121" s="19">
        <f>+H121-F121</f>
        <v>941</v>
      </c>
      <c r="H121" s="212">
        <v>1993</v>
      </c>
      <c r="I121" s="25">
        <f>+J121-H121</f>
        <v>1085</v>
      </c>
      <c r="J121" s="242">
        <v>3078</v>
      </c>
      <c r="L121" s="218">
        <v>718</v>
      </c>
      <c r="M121" s="19">
        <f>+N121-L121</f>
        <v>552</v>
      </c>
      <c r="N121" s="212">
        <v>1270</v>
      </c>
      <c r="O121" s="19">
        <f>+P121-N121</f>
        <v>733</v>
      </c>
      <c r="P121" s="212">
        <v>2003</v>
      </c>
      <c r="Q121" s="25">
        <f>+R121-P121</f>
        <v>736</v>
      </c>
      <c r="R121" s="242">
        <v>2739</v>
      </c>
      <c r="T121" s="218">
        <v>718</v>
      </c>
      <c r="U121" s="19">
        <f>+V121-T121</f>
        <v>552</v>
      </c>
      <c r="V121" s="212">
        <v>1270</v>
      </c>
      <c r="W121" s="19">
        <f>+X121-V121</f>
        <v>733</v>
      </c>
      <c r="X121" s="212">
        <v>2003</v>
      </c>
      <c r="Y121" s="25">
        <f>+Z121-X121</f>
        <v>736</v>
      </c>
      <c r="Z121" s="242">
        <v>2739</v>
      </c>
      <c r="AB121" s="218">
        <v>814</v>
      </c>
      <c r="AC121" s="19">
        <f>+AD121-AB121</f>
        <v>441</v>
      </c>
      <c r="AD121" s="212">
        <v>1255</v>
      </c>
      <c r="AE121" s="19">
        <f>+AF121-AD121</f>
        <v>1100</v>
      </c>
      <c r="AF121" s="212">
        <v>2355</v>
      </c>
      <c r="AG121" s="25">
        <f>+AH121-AF121</f>
        <v>1817</v>
      </c>
      <c r="AH121" s="242">
        <v>4172</v>
      </c>
      <c r="AJ121" s="218">
        <v>1617</v>
      </c>
      <c r="AK121" s="19">
        <f>+AL121-AJ121</f>
        <v>1297</v>
      </c>
      <c r="AL121" s="212">
        <v>2914</v>
      </c>
      <c r="AM121" s="19">
        <f>+AN121-AL121</f>
        <v>1508</v>
      </c>
      <c r="AN121" s="212">
        <v>4422</v>
      </c>
      <c r="AO121" s="25">
        <f t="shared" si="107"/>
        <v>2323</v>
      </c>
      <c r="AP121" s="242">
        <v>6745</v>
      </c>
      <c r="AR121" s="218">
        <v>1746</v>
      </c>
      <c r="AS121" s="19">
        <f>+AT121-AR121</f>
        <v>1122</v>
      </c>
      <c r="AT121" s="212">
        <v>2868</v>
      </c>
      <c r="AU121" s="19">
        <f>+AV121-AT121</f>
        <v>1007</v>
      </c>
      <c r="AV121" s="212">
        <v>3875</v>
      </c>
      <c r="AW121" s="25">
        <f t="shared" si="106"/>
        <v>1968</v>
      </c>
      <c r="AX121" s="242">
        <v>5843</v>
      </c>
      <c r="AZ121" s="218">
        <v>1746</v>
      </c>
      <c r="BA121" s="19">
        <f>+BB121-AZ121</f>
        <v>1122</v>
      </c>
      <c r="BB121" s="212">
        <v>2868</v>
      </c>
      <c r="BC121" s="19">
        <f t="shared" si="108"/>
        <v>1007</v>
      </c>
      <c r="BD121" s="212">
        <v>3875</v>
      </c>
      <c r="BE121" s="19">
        <f t="shared" si="108"/>
        <v>1968</v>
      </c>
      <c r="BF121" s="242">
        <v>5843</v>
      </c>
      <c r="BH121" s="218">
        <v>1860</v>
      </c>
      <c r="BI121" s="19">
        <f t="shared" si="109"/>
        <v>1267</v>
      </c>
      <c r="BJ121" s="212">
        <v>3127</v>
      </c>
      <c r="BK121" s="19">
        <f t="shared" si="109"/>
        <v>1083</v>
      </c>
      <c r="BL121" s="212">
        <v>4210</v>
      </c>
      <c r="BM121" s="19">
        <f t="shared" si="109"/>
        <v>1601</v>
      </c>
      <c r="BN121" s="242">
        <v>5811</v>
      </c>
      <c r="BP121" s="218">
        <v>1638</v>
      </c>
      <c r="BQ121" s="19">
        <f>+BR121-BP121</f>
        <v>-1638</v>
      </c>
      <c r="BR121" s="212"/>
      <c r="BS121" s="19">
        <f>+BT121-BR121</f>
        <v>0</v>
      </c>
      <c r="BT121" s="212"/>
      <c r="BU121" s="19">
        <f>+BV121-BT121</f>
        <v>0</v>
      </c>
      <c r="BV121" s="242"/>
    </row>
    <row r="122" spans="2:74" ht="12.75">
      <c r="B122" s="168" t="s">
        <v>354</v>
      </c>
      <c r="D122" s="218">
        <v>628</v>
      </c>
      <c r="E122" s="19">
        <f>+F122-D122</f>
        <v>-466</v>
      </c>
      <c r="F122" s="212">
        <v>162</v>
      </c>
      <c r="G122" s="19">
        <f>+H122-F122</f>
        <v>-482</v>
      </c>
      <c r="H122" s="212">
        <v>-320</v>
      </c>
      <c r="I122" s="25">
        <f>+J122-H122</f>
        <v>-21</v>
      </c>
      <c r="J122" s="242">
        <v>-341</v>
      </c>
      <c r="L122" s="218">
        <v>430</v>
      </c>
      <c r="M122" s="19">
        <f>+N122-L122</f>
        <v>-348</v>
      </c>
      <c r="N122" s="212">
        <v>82</v>
      </c>
      <c r="O122" s="19">
        <f>+P122-N122</f>
        <v>-212</v>
      </c>
      <c r="P122" s="212">
        <v>-130</v>
      </c>
      <c r="Q122" s="25">
        <f>+R122-P122</f>
        <v>302</v>
      </c>
      <c r="R122" s="242">
        <v>172</v>
      </c>
      <c r="T122" s="218">
        <v>430</v>
      </c>
      <c r="U122" s="19">
        <f>+V122-T122</f>
        <v>-348</v>
      </c>
      <c r="V122" s="212">
        <v>82</v>
      </c>
      <c r="W122" s="19">
        <f>+X122-V122</f>
        <v>-212</v>
      </c>
      <c r="X122" s="212">
        <v>-130</v>
      </c>
      <c r="Y122" s="25">
        <f>+Z122-X122</f>
        <v>302</v>
      </c>
      <c r="Z122" s="242">
        <v>172</v>
      </c>
      <c r="AB122" s="218">
        <v>608</v>
      </c>
      <c r="AC122" s="19">
        <f>+AD122-AB122</f>
        <v>-269</v>
      </c>
      <c r="AD122" s="212">
        <v>339</v>
      </c>
      <c r="AE122" s="19">
        <f>+AF122-AD122</f>
        <v>-233</v>
      </c>
      <c r="AF122" s="212">
        <v>106</v>
      </c>
      <c r="AG122" s="25">
        <f>+AH122-AF122</f>
        <v>91</v>
      </c>
      <c r="AH122" s="242">
        <v>197</v>
      </c>
      <c r="AJ122" s="218">
        <v>280</v>
      </c>
      <c r="AK122" s="19">
        <f>+AL122-AJ122</f>
        <v>-206</v>
      </c>
      <c r="AL122" s="212">
        <v>74</v>
      </c>
      <c r="AM122" s="19">
        <f>+AN122-AL122</f>
        <v>-162</v>
      </c>
      <c r="AN122" s="212">
        <v>-88</v>
      </c>
      <c r="AO122" s="25">
        <f t="shared" si="107"/>
        <v>88</v>
      </c>
      <c r="AP122" s="242">
        <v>0</v>
      </c>
      <c r="AR122" s="218">
        <v>236</v>
      </c>
      <c r="AS122" s="19">
        <f>+AT122-AR122</f>
        <v>-225</v>
      </c>
      <c r="AT122" s="212">
        <v>11</v>
      </c>
      <c r="AU122" s="19">
        <f>+AV122-AT122</f>
        <v>-148</v>
      </c>
      <c r="AV122" s="212">
        <v>-137</v>
      </c>
      <c r="AW122" s="25">
        <f t="shared" si="106"/>
        <v>43</v>
      </c>
      <c r="AX122" s="242">
        <v>-94</v>
      </c>
      <c r="AZ122" s="218">
        <v>236</v>
      </c>
      <c r="BA122" s="19">
        <f>+BB122-AZ122</f>
        <v>-225</v>
      </c>
      <c r="BB122" s="212">
        <v>11</v>
      </c>
      <c r="BC122" s="19">
        <f t="shared" si="108"/>
        <v>-148</v>
      </c>
      <c r="BD122" s="212">
        <v>-137</v>
      </c>
      <c r="BE122" s="19">
        <f t="shared" si="108"/>
        <v>43</v>
      </c>
      <c r="BF122" s="242">
        <v>-94</v>
      </c>
      <c r="BH122" s="218">
        <v>230</v>
      </c>
      <c r="BI122" s="19">
        <f t="shared" si="109"/>
        <v>-239</v>
      </c>
      <c r="BJ122" s="212">
        <v>-9</v>
      </c>
      <c r="BK122" s="19">
        <f t="shared" si="109"/>
        <v>-211</v>
      </c>
      <c r="BL122" s="212">
        <v>-220</v>
      </c>
      <c r="BM122" s="19">
        <f t="shared" si="109"/>
        <v>203</v>
      </c>
      <c r="BN122" s="242">
        <v>-17</v>
      </c>
      <c r="BP122" s="218">
        <v>317</v>
      </c>
      <c r="BQ122" s="19">
        <f>+BR122-BP122</f>
        <v>-317</v>
      </c>
      <c r="BR122" s="212"/>
      <c r="BS122" s="19">
        <f>+BT122-BR122</f>
        <v>0</v>
      </c>
      <c r="BT122" s="212"/>
      <c r="BU122" s="19">
        <f>+BV122-BT122</f>
        <v>0</v>
      </c>
      <c r="BV122" s="242"/>
    </row>
    <row r="123" spans="2:74" ht="12.75">
      <c r="B123" s="266" t="s">
        <v>352</v>
      </c>
      <c r="D123" s="142">
        <f aca="true" t="shared" si="110" ref="D123:J123">SUM(D119:D122)</f>
        <v>4863</v>
      </c>
      <c r="E123" s="56">
        <f t="shared" si="110"/>
        <v>3132</v>
      </c>
      <c r="F123" s="56">
        <f t="shared" si="110"/>
        <v>7995</v>
      </c>
      <c r="G123" s="56">
        <f t="shared" si="110"/>
        <v>3622</v>
      </c>
      <c r="H123" s="56">
        <f t="shared" si="110"/>
        <v>11617</v>
      </c>
      <c r="I123" s="23">
        <f t="shared" si="110"/>
        <v>4042</v>
      </c>
      <c r="J123" s="143">
        <f t="shared" si="110"/>
        <v>15659</v>
      </c>
      <c r="L123" s="142">
        <f aca="true" t="shared" si="111" ref="L123:R123">SUM(L119:L122)</f>
        <v>3947</v>
      </c>
      <c r="M123" s="56">
        <f t="shared" si="111"/>
        <v>2499</v>
      </c>
      <c r="N123" s="56">
        <f t="shared" si="111"/>
        <v>6446</v>
      </c>
      <c r="O123" s="56">
        <f t="shared" si="111"/>
        <v>2821</v>
      </c>
      <c r="P123" s="56">
        <f t="shared" si="111"/>
        <v>9267</v>
      </c>
      <c r="Q123" s="23">
        <f t="shared" si="111"/>
        <v>3976</v>
      </c>
      <c r="R123" s="143">
        <f t="shared" si="111"/>
        <v>13243</v>
      </c>
      <c r="T123" s="142">
        <f aca="true" t="shared" si="112" ref="T123:Z123">SUM(T119:T122)</f>
        <v>3947</v>
      </c>
      <c r="U123" s="56">
        <f t="shared" si="112"/>
        <v>2499</v>
      </c>
      <c r="V123" s="56">
        <f t="shared" si="112"/>
        <v>6446</v>
      </c>
      <c r="W123" s="56">
        <f t="shared" si="112"/>
        <v>2821</v>
      </c>
      <c r="X123" s="56">
        <f t="shared" si="112"/>
        <v>9267</v>
      </c>
      <c r="Y123" s="23">
        <f t="shared" si="112"/>
        <v>3976</v>
      </c>
      <c r="Z123" s="143">
        <f t="shared" si="112"/>
        <v>13243</v>
      </c>
      <c r="AB123" s="142">
        <f aca="true" t="shared" si="113" ref="AB123:AH123">SUM(AB119:AB122)</f>
        <v>4600</v>
      </c>
      <c r="AC123" s="56">
        <f t="shared" si="113"/>
        <v>3443</v>
      </c>
      <c r="AD123" s="56">
        <f t="shared" si="113"/>
        <v>8043</v>
      </c>
      <c r="AE123" s="56">
        <f t="shared" si="113"/>
        <v>4026</v>
      </c>
      <c r="AF123" s="56">
        <f t="shared" si="113"/>
        <v>12069</v>
      </c>
      <c r="AG123" s="23">
        <f t="shared" si="113"/>
        <v>5507</v>
      </c>
      <c r="AH123" s="143">
        <f t="shared" si="113"/>
        <v>17576</v>
      </c>
      <c r="AJ123" s="142">
        <f>SUM(AJ119:AJ122)</f>
        <v>5592</v>
      </c>
      <c r="AK123" s="56">
        <f>SUM(AK119:AK122)</f>
        <v>4946</v>
      </c>
      <c r="AL123" s="56">
        <f>SUM(AL119:AL122)</f>
        <v>10538</v>
      </c>
      <c r="AM123" s="56">
        <f>SUM(AM119:AM122)</f>
        <v>5005</v>
      </c>
      <c r="AN123" s="56">
        <f>SUM(AN119:AN122)</f>
        <v>15543</v>
      </c>
      <c r="AO123" s="23">
        <f t="shared" si="107"/>
        <v>6338</v>
      </c>
      <c r="AP123" s="143">
        <f>+AP119+AP120+AP121+AP122</f>
        <v>21881</v>
      </c>
      <c r="AR123" s="142">
        <f>+SUM(AR119:AR122)</f>
        <v>5995</v>
      </c>
      <c r="AS123" s="56">
        <f>SUM(AS119:AS122)</f>
        <v>4656</v>
      </c>
      <c r="AT123" s="56">
        <f>SUM(AT119:AT122)</f>
        <v>10651</v>
      </c>
      <c r="AU123" s="56">
        <f>SUM(AU119:AU122)</f>
        <v>4546</v>
      </c>
      <c r="AV123" s="24">
        <f>SUM(AV119:AV122)</f>
        <v>15197</v>
      </c>
      <c r="AW123" s="23">
        <f t="shared" si="106"/>
        <v>6091</v>
      </c>
      <c r="AX123" s="143">
        <f>+AX119+AX120+AX121+AX122</f>
        <v>21288</v>
      </c>
      <c r="AZ123" s="142">
        <f>+SUM(AZ119:AZ122)</f>
        <v>5995</v>
      </c>
      <c r="BA123" s="56">
        <f>SUM(BA119:BA122)</f>
        <v>4656</v>
      </c>
      <c r="BB123" s="56">
        <f>SUM(BB119:BB122)</f>
        <v>10651</v>
      </c>
      <c r="BC123" s="56">
        <f>SUM(BC119:BC122)</f>
        <v>4546</v>
      </c>
      <c r="BD123" s="24">
        <f>SUM(BD119:BD122)</f>
        <v>15197</v>
      </c>
      <c r="BE123" s="56">
        <f>SUM(BE119:BE122)</f>
        <v>6091</v>
      </c>
      <c r="BF123" s="143">
        <f>+BF119+BF120+BF121+BF122</f>
        <v>21288</v>
      </c>
      <c r="BH123" s="142">
        <f>+SUM(BH119:BH122)</f>
        <v>5979</v>
      </c>
      <c r="BI123" s="56">
        <f t="shared" si="109"/>
        <v>4342</v>
      </c>
      <c r="BJ123" s="56">
        <f>+SUM(BJ119:BJ122)</f>
        <v>10321</v>
      </c>
      <c r="BK123" s="56">
        <f t="shared" si="109"/>
        <v>4724</v>
      </c>
      <c r="BL123" s="56">
        <f>+SUM(BL119:BL122)</f>
        <v>15045</v>
      </c>
      <c r="BM123" s="56">
        <f t="shared" si="109"/>
        <v>5669</v>
      </c>
      <c r="BN123" s="143">
        <f>+SUM(BN119:BN122)</f>
        <v>20714</v>
      </c>
      <c r="BP123" s="142">
        <f>+SUM(BP119:BP122)</f>
        <v>5482</v>
      </c>
      <c r="BQ123" s="56">
        <f>+BR123-BP123</f>
        <v>-5482</v>
      </c>
      <c r="BR123" s="56">
        <f>+SUM(BR119:BR122)</f>
        <v>0</v>
      </c>
      <c r="BS123" s="56">
        <f>+BT123-BR123</f>
        <v>0</v>
      </c>
      <c r="BT123" s="56">
        <f>+SUM(BT119:BT122)</f>
        <v>0</v>
      </c>
      <c r="BU123" s="56">
        <f>+BV123-BT123</f>
        <v>0</v>
      </c>
      <c r="BV123" s="143">
        <f>+SUM(BV119:BV122)</f>
        <v>0</v>
      </c>
    </row>
    <row r="124" spans="2:74" s="158" customFormat="1" ht="12.75">
      <c r="B124" s="159" t="s">
        <v>388</v>
      </c>
      <c r="D124" s="211">
        <v>443</v>
      </c>
      <c r="E124" s="19">
        <f>+F124-D124</f>
        <v>459</v>
      </c>
      <c r="F124" s="210">
        <v>902</v>
      </c>
      <c r="G124" s="19">
        <f>+H124-F124</f>
        <v>454</v>
      </c>
      <c r="H124" s="210">
        <v>1356</v>
      </c>
      <c r="I124" s="19">
        <f>+J124-H124</f>
        <v>443</v>
      </c>
      <c r="J124" s="237">
        <v>1799</v>
      </c>
      <c r="L124" s="211">
        <v>454</v>
      </c>
      <c r="M124" s="19">
        <f>+N124-L124</f>
        <v>438</v>
      </c>
      <c r="N124" s="210">
        <v>892</v>
      </c>
      <c r="O124" s="19">
        <f>+P124-N124</f>
        <v>422</v>
      </c>
      <c r="P124" s="210">
        <v>1314</v>
      </c>
      <c r="Q124" s="19">
        <f>+R124-P124</f>
        <v>420</v>
      </c>
      <c r="R124" s="237">
        <v>1734</v>
      </c>
      <c r="T124" s="211">
        <v>454</v>
      </c>
      <c r="U124" s="19">
        <f>+V124-T124</f>
        <v>438</v>
      </c>
      <c r="V124" s="210">
        <v>892</v>
      </c>
      <c r="W124" s="19">
        <f>+X124-V124</f>
        <v>422</v>
      </c>
      <c r="X124" s="210">
        <v>1314</v>
      </c>
      <c r="Y124" s="19">
        <f>+Z124-X124</f>
        <v>420</v>
      </c>
      <c r="Z124" s="237">
        <v>1734</v>
      </c>
      <c r="AB124" s="218">
        <v>398</v>
      </c>
      <c r="AC124" s="19">
        <f>+AD124-AB124</f>
        <v>382</v>
      </c>
      <c r="AD124" s="170">
        <v>780</v>
      </c>
      <c r="AE124" s="19">
        <f>+AF124-AD124</f>
        <v>355</v>
      </c>
      <c r="AF124" s="210">
        <v>1135</v>
      </c>
      <c r="AG124" s="19">
        <f>+AH124-AF124</f>
        <v>373</v>
      </c>
      <c r="AH124" s="237">
        <v>1508</v>
      </c>
      <c r="AJ124" s="211">
        <v>375</v>
      </c>
      <c r="AK124" s="19">
        <f>+AL124-AJ124</f>
        <v>383</v>
      </c>
      <c r="AL124" s="210">
        <v>758</v>
      </c>
      <c r="AM124" s="19">
        <f>+AN124-AL124</f>
        <v>356</v>
      </c>
      <c r="AN124" s="210">
        <v>1114</v>
      </c>
      <c r="AO124" s="19">
        <f>+AP124-AN124</f>
        <v>289</v>
      </c>
      <c r="AP124" s="237">
        <v>1403</v>
      </c>
      <c r="AR124" s="211">
        <v>333</v>
      </c>
      <c r="AS124" s="19">
        <f>+AT124-AR124</f>
        <v>453</v>
      </c>
      <c r="AT124" s="210">
        <v>786</v>
      </c>
      <c r="AU124" s="19">
        <f>+AV124-AT124</f>
        <v>468</v>
      </c>
      <c r="AV124" s="210">
        <v>1254</v>
      </c>
      <c r="AW124" s="19">
        <f t="shared" si="106"/>
        <v>382</v>
      </c>
      <c r="AX124" s="237">
        <v>1636</v>
      </c>
      <c r="AZ124" s="211">
        <v>333</v>
      </c>
      <c r="BA124" s="19">
        <f>+BB124-AZ124</f>
        <v>453</v>
      </c>
      <c r="BB124" s="210">
        <v>786</v>
      </c>
      <c r="BC124" s="19">
        <f t="shared" si="108"/>
        <v>468</v>
      </c>
      <c r="BD124" s="210">
        <v>1254</v>
      </c>
      <c r="BE124" s="19">
        <f t="shared" si="108"/>
        <v>382</v>
      </c>
      <c r="BF124" s="237">
        <v>1636</v>
      </c>
      <c r="BH124" s="211">
        <v>455</v>
      </c>
      <c r="BI124" s="19">
        <f t="shared" si="109"/>
        <v>458</v>
      </c>
      <c r="BJ124" s="210">
        <v>913</v>
      </c>
      <c r="BK124" s="19">
        <f t="shared" si="109"/>
        <v>500</v>
      </c>
      <c r="BL124" s="210">
        <v>1413</v>
      </c>
      <c r="BM124" s="19">
        <f t="shared" si="109"/>
        <v>496</v>
      </c>
      <c r="BN124" s="237">
        <v>1909</v>
      </c>
      <c r="BP124" s="211">
        <v>453</v>
      </c>
      <c r="BQ124" s="19">
        <f>+BR124-BP124</f>
        <v>-453</v>
      </c>
      <c r="BR124" s="210"/>
      <c r="BS124" s="19">
        <f>+BT124-BR124</f>
        <v>0</v>
      </c>
      <c r="BT124" s="210"/>
      <c r="BU124" s="19">
        <f>+BV124-BT124</f>
        <v>0</v>
      </c>
      <c r="BV124" s="237"/>
    </row>
    <row r="125" spans="2:74" ht="12.75">
      <c r="B125" s="134"/>
      <c r="D125" s="103"/>
      <c r="E125" s="158"/>
      <c r="G125" s="158"/>
      <c r="I125" s="19"/>
      <c r="J125" s="95"/>
      <c r="L125" s="103"/>
      <c r="M125" s="158"/>
      <c r="O125" s="158"/>
      <c r="Q125" s="19"/>
      <c r="R125" s="95"/>
      <c r="T125" s="103"/>
      <c r="U125" s="158"/>
      <c r="W125" s="158"/>
      <c r="Y125" s="19"/>
      <c r="Z125" s="95"/>
      <c r="AB125" s="218"/>
      <c r="AC125" s="158"/>
      <c r="AE125" s="158"/>
      <c r="AG125" s="19"/>
      <c r="AH125" s="95"/>
      <c r="AJ125" s="103"/>
      <c r="AK125" s="158"/>
      <c r="AM125" s="158"/>
      <c r="AO125" s="19"/>
      <c r="AP125" s="95"/>
      <c r="AR125" s="103"/>
      <c r="AS125" s="158"/>
      <c r="AU125" s="158"/>
      <c r="AV125" s="164"/>
      <c r="AW125" s="19"/>
      <c r="AX125" s="95"/>
      <c r="AZ125" s="103"/>
      <c r="BA125" s="158"/>
      <c r="BC125" s="158"/>
      <c r="BD125" s="164"/>
      <c r="BE125" s="158"/>
      <c r="BF125" s="95"/>
      <c r="BH125" s="103"/>
      <c r="BI125" s="19"/>
      <c r="BK125" s="19"/>
      <c r="BL125" s="164"/>
      <c r="BM125" s="19"/>
      <c r="BN125" s="95"/>
      <c r="BP125" s="103"/>
      <c r="BQ125" s="19"/>
      <c r="BS125" s="19"/>
      <c r="BT125" s="164"/>
      <c r="BU125" s="19"/>
      <c r="BV125" s="95"/>
    </row>
    <row r="126" spans="2:74" ht="12.75">
      <c r="B126" s="294" t="s">
        <v>494</v>
      </c>
      <c r="D126" s="148"/>
      <c r="E126" s="158"/>
      <c r="G126" s="158"/>
      <c r="I126" s="19"/>
      <c r="J126" s="95"/>
      <c r="L126" s="148"/>
      <c r="M126" s="158"/>
      <c r="O126" s="158"/>
      <c r="Q126" s="19"/>
      <c r="R126" s="95"/>
      <c r="T126" s="148"/>
      <c r="U126" s="158"/>
      <c r="W126" s="158"/>
      <c r="Y126" s="19"/>
      <c r="Z126" s="95"/>
      <c r="AB126" s="148"/>
      <c r="AC126" s="158"/>
      <c r="AE126" s="158"/>
      <c r="AG126" s="19"/>
      <c r="AH126" s="95"/>
      <c r="AJ126" s="148"/>
      <c r="AK126" s="158"/>
      <c r="AM126" s="158"/>
      <c r="AO126" s="19"/>
      <c r="AP126" s="95"/>
      <c r="AR126" s="148"/>
      <c r="AS126" s="158"/>
      <c r="AU126" s="158"/>
      <c r="AV126" s="164"/>
      <c r="AW126" s="19"/>
      <c r="AX126" s="95"/>
      <c r="AZ126" s="148"/>
      <c r="BA126" s="158"/>
      <c r="BC126" s="158"/>
      <c r="BD126" s="164"/>
      <c r="BE126" s="158"/>
      <c r="BF126" s="95"/>
      <c r="BH126" s="148"/>
      <c r="BI126" s="19"/>
      <c r="BK126" s="19"/>
      <c r="BL126" s="164"/>
      <c r="BM126" s="19"/>
      <c r="BN126" s="95"/>
      <c r="BP126" s="148"/>
      <c r="BQ126" s="19"/>
      <c r="BS126" s="19"/>
      <c r="BT126" s="164"/>
      <c r="BU126" s="19"/>
      <c r="BV126" s="95"/>
    </row>
    <row r="127" spans="2:74" ht="12.75">
      <c r="B127" s="168" t="s">
        <v>101</v>
      </c>
      <c r="D127" s="218">
        <v>1335</v>
      </c>
      <c r="E127" s="19">
        <f>+F127-D127</f>
        <v>347</v>
      </c>
      <c r="F127" s="212">
        <v>1682</v>
      </c>
      <c r="G127" s="19">
        <f>+H127-F127</f>
        <v>185</v>
      </c>
      <c r="H127" s="212">
        <v>1867</v>
      </c>
      <c r="I127" s="19">
        <f>+J127-H127</f>
        <v>870</v>
      </c>
      <c r="J127" s="242">
        <v>2737</v>
      </c>
      <c r="L127" s="218">
        <v>1070</v>
      </c>
      <c r="M127" s="19">
        <f>+N127-L127</f>
        <v>281</v>
      </c>
      <c r="N127" s="212">
        <v>1351</v>
      </c>
      <c r="O127" s="19">
        <f>+P127-N127</f>
        <v>135</v>
      </c>
      <c r="P127" s="212">
        <v>1486</v>
      </c>
      <c r="Q127" s="19">
        <f>+R127-P127</f>
        <v>828</v>
      </c>
      <c r="R127" s="242">
        <v>2314</v>
      </c>
      <c r="T127" s="218">
        <v>1070</v>
      </c>
      <c r="U127" s="19">
        <f>+V127-T127</f>
        <v>281</v>
      </c>
      <c r="V127" s="212">
        <v>1351</v>
      </c>
      <c r="W127" s="19">
        <f>+X127-V127</f>
        <v>135</v>
      </c>
      <c r="X127" s="212">
        <v>1486</v>
      </c>
      <c r="Y127" s="19">
        <f>+Z127-X127</f>
        <v>828</v>
      </c>
      <c r="Z127" s="242">
        <v>2314</v>
      </c>
      <c r="AB127" s="218">
        <v>1316</v>
      </c>
      <c r="AC127" s="19">
        <f>+AD127-AB127</f>
        <v>273</v>
      </c>
      <c r="AD127" s="212">
        <v>1589</v>
      </c>
      <c r="AE127" s="19">
        <f>+AF127-AD127</f>
        <v>124</v>
      </c>
      <c r="AF127" s="212">
        <v>1713</v>
      </c>
      <c r="AG127" s="19">
        <f>+AH127-AF127</f>
        <v>935</v>
      </c>
      <c r="AH127" s="242">
        <v>2648</v>
      </c>
      <c r="AJ127" s="218">
        <v>1266</v>
      </c>
      <c r="AK127" s="19">
        <f>+AL127-AJ127</f>
        <v>237</v>
      </c>
      <c r="AL127" s="212">
        <v>1503</v>
      </c>
      <c r="AM127" s="19">
        <f>+AN127-AL127</f>
        <v>165</v>
      </c>
      <c r="AN127" s="212">
        <v>1668</v>
      </c>
      <c r="AO127" s="19">
        <f t="shared" si="107"/>
        <v>894</v>
      </c>
      <c r="AP127" s="242">
        <v>2562</v>
      </c>
      <c r="AR127" s="218">
        <v>1180</v>
      </c>
      <c r="AS127" s="19">
        <f>+AT127-AR127</f>
        <v>199</v>
      </c>
      <c r="AT127" s="212">
        <v>1379</v>
      </c>
      <c r="AU127" s="19">
        <f>+AV127-AT127</f>
        <v>134</v>
      </c>
      <c r="AV127" s="212">
        <v>1513</v>
      </c>
      <c r="AW127" s="19">
        <f aca="true" t="shared" si="114" ref="AW127:AW132">+AX127-AV127</f>
        <v>891</v>
      </c>
      <c r="AX127" s="242">
        <v>2404</v>
      </c>
      <c r="AZ127" s="218">
        <v>1180</v>
      </c>
      <c r="BA127" s="19">
        <f>+BB127-AZ127</f>
        <v>199</v>
      </c>
      <c r="BB127" s="212">
        <v>1379</v>
      </c>
      <c r="BC127" s="19">
        <f aca="true" t="shared" si="115" ref="BC127:BE132">+BD127-BB127</f>
        <v>134</v>
      </c>
      <c r="BD127" s="212">
        <v>1513</v>
      </c>
      <c r="BE127" s="19">
        <f t="shared" si="115"/>
        <v>891</v>
      </c>
      <c r="BF127" s="242">
        <v>2404</v>
      </c>
      <c r="BH127" s="218">
        <v>1290</v>
      </c>
      <c r="BI127" s="19">
        <f t="shared" si="109"/>
        <v>247</v>
      </c>
      <c r="BJ127" s="212">
        <v>1537</v>
      </c>
      <c r="BK127" s="19">
        <f t="shared" si="109"/>
        <v>185</v>
      </c>
      <c r="BL127" s="212">
        <v>1722</v>
      </c>
      <c r="BM127" s="19">
        <f t="shared" si="109"/>
        <v>1082</v>
      </c>
      <c r="BN127" s="242">
        <v>2804</v>
      </c>
      <c r="BP127" s="218">
        <v>1312</v>
      </c>
      <c r="BQ127" s="19">
        <f aca="true" t="shared" si="116" ref="BQ127:BQ139">+BR127-BP127</f>
        <v>-1312</v>
      </c>
      <c r="BR127" s="212"/>
      <c r="BS127" s="19">
        <f aca="true" t="shared" si="117" ref="BS127:BS139">+BT127-BR127</f>
        <v>0</v>
      </c>
      <c r="BT127" s="212"/>
      <c r="BU127" s="19">
        <f aca="true" t="shared" si="118" ref="BU127:BU139">+BV127-BT127</f>
        <v>0</v>
      </c>
      <c r="BV127" s="242"/>
    </row>
    <row r="128" spans="2:74" ht="12.75">
      <c r="B128" s="168" t="s">
        <v>102</v>
      </c>
      <c r="D128" s="218">
        <v>705</v>
      </c>
      <c r="E128" s="19">
        <f>+F128-D128</f>
        <v>597</v>
      </c>
      <c r="F128" s="212">
        <v>1302</v>
      </c>
      <c r="G128" s="19">
        <f>+H128-F128</f>
        <v>630</v>
      </c>
      <c r="H128" s="212">
        <v>1932</v>
      </c>
      <c r="I128" s="19">
        <f>+J128-H128</f>
        <v>775</v>
      </c>
      <c r="J128" s="242">
        <v>2707</v>
      </c>
      <c r="L128" s="218">
        <v>893</v>
      </c>
      <c r="M128" s="19">
        <f>+N128-L128</f>
        <v>784</v>
      </c>
      <c r="N128" s="212">
        <v>1677</v>
      </c>
      <c r="O128" s="19">
        <f>+P128-N128</f>
        <v>820</v>
      </c>
      <c r="P128" s="212">
        <v>2497</v>
      </c>
      <c r="Q128" s="19">
        <f>+R128-P128</f>
        <v>916</v>
      </c>
      <c r="R128" s="242">
        <v>3413</v>
      </c>
      <c r="T128" s="218">
        <v>893</v>
      </c>
      <c r="U128" s="19">
        <f>+V128-T128</f>
        <v>784</v>
      </c>
      <c r="V128" s="212">
        <v>1677</v>
      </c>
      <c r="W128" s="19">
        <f>+X128-V128</f>
        <v>820</v>
      </c>
      <c r="X128" s="212">
        <v>2497</v>
      </c>
      <c r="Y128" s="19">
        <f>+Z128-X128</f>
        <v>916</v>
      </c>
      <c r="Z128" s="242">
        <v>3413</v>
      </c>
      <c r="AB128" s="218">
        <v>879</v>
      </c>
      <c r="AC128" s="19">
        <f>+AD128-AB128</f>
        <v>777</v>
      </c>
      <c r="AD128" s="212">
        <v>1656</v>
      </c>
      <c r="AE128" s="19">
        <f>+AF128-AD128</f>
        <v>789</v>
      </c>
      <c r="AF128" s="212">
        <v>2445</v>
      </c>
      <c r="AG128" s="19">
        <f>+AH128-AF128</f>
        <v>940</v>
      </c>
      <c r="AH128" s="242">
        <v>3385</v>
      </c>
      <c r="AJ128" s="218">
        <v>1041</v>
      </c>
      <c r="AK128" s="19">
        <f>+AL128-AJ128</f>
        <v>942</v>
      </c>
      <c r="AL128" s="212">
        <v>1983</v>
      </c>
      <c r="AM128" s="19">
        <f>+AN128-AL128</f>
        <v>907</v>
      </c>
      <c r="AN128" s="212">
        <v>2890</v>
      </c>
      <c r="AO128" s="19">
        <f t="shared" si="107"/>
        <v>1080</v>
      </c>
      <c r="AP128" s="242">
        <v>3970</v>
      </c>
      <c r="AR128" s="218">
        <v>1150</v>
      </c>
      <c r="AS128" s="19">
        <f>+AT128-AR128</f>
        <v>1059</v>
      </c>
      <c r="AT128" s="212">
        <v>2209</v>
      </c>
      <c r="AU128" s="19">
        <f>+AV128-AT128</f>
        <v>1040</v>
      </c>
      <c r="AV128" s="212">
        <v>3249</v>
      </c>
      <c r="AW128" s="19">
        <f t="shared" si="114"/>
        <v>1258</v>
      </c>
      <c r="AX128" s="242">
        <v>4507</v>
      </c>
      <c r="AZ128" s="218">
        <v>1150</v>
      </c>
      <c r="BA128" s="19">
        <f>+BB128-AZ128</f>
        <v>1059</v>
      </c>
      <c r="BB128" s="212">
        <v>2209</v>
      </c>
      <c r="BC128" s="19">
        <f t="shared" si="115"/>
        <v>1040</v>
      </c>
      <c r="BD128" s="212">
        <v>3249</v>
      </c>
      <c r="BE128" s="19">
        <f t="shared" si="115"/>
        <v>1258</v>
      </c>
      <c r="BF128" s="242">
        <v>4507</v>
      </c>
      <c r="BH128" s="218">
        <v>1241</v>
      </c>
      <c r="BI128" s="19">
        <f t="shared" si="109"/>
        <v>1013</v>
      </c>
      <c r="BJ128" s="212">
        <v>2254</v>
      </c>
      <c r="BK128" s="19">
        <f t="shared" si="109"/>
        <v>993</v>
      </c>
      <c r="BL128" s="212">
        <v>3247</v>
      </c>
      <c r="BM128" s="19">
        <f t="shared" si="109"/>
        <v>1271</v>
      </c>
      <c r="BN128" s="242">
        <v>4518</v>
      </c>
      <c r="BP128" s="218">
        <v>1367</v>
      </c>
      <c r="BQ128" s="19">
        <f t="shared" si="116"/>
        <v>-1367</v>
      </c>
      <c r="BR128" s="212"/>
      <c r="BS128" s="19">
        <f t="shared" si="117"/>
        <v>0</v>
      </c>
      <c r="BT128" s="212"/>
      <c r="BU128" s="19">
        <f t="shared" si="118"/>
        <v>0</v>
      </c>
      <c r="BV128" s="242"/>
    </row>
    <row r="129" spans="2:74" ht="12.75">
      <c r="B129" s="133" t="s">
        <v>103</v>
      </c>
      <c r="D129" s="218">
        <v>1749</v>
      </c>
      <c r="E129" s="19">
        <f>+F129-D129</f>
        <v>1368</v>
      </c>
      <c r="F129" s="212">
        <v>3117</v>
      </c>
      <c r="G129" s="19">
        <f>+H129-F129</f>
        <v>1791</v>
      </c>
      <c r="H129" s="212">
        <v>4908</v>
      </c>
      <c r="I129" s="19">
        <f>+J129-H129</f>
        <v>1670</v>
      </c>
      <c r="J129" s="242">
        <v>6578</v>
      </c>
      <c r="L129" s="218">
        <v>1260</v>
      </c>
      <c r="M129" s="19">
        <f>+N129-L129</f>
        <v>804</v>
      </c>
      <c r="N129" s="212">
        <v>2064</v>
      </c>
      <c r="O129" s="19">
        <f>+P129-N129</f>
        <v>1122</v>
      </c>
      <c r="P129" s="212">
        <v>3186</v>
      </c>
      <c r="Q129" s="19">
        <f>+R129-P129</f>
        <v>1221</v>
      </c>
      <c r="R129" s="242">
        <v>4407</v>
      </c>
      <c r="T129" s="218">
        <v>1260</v>
      </c>
      <c r="U129" s="19">
        <f>+V129-T129</f>
        <v>804</v>
      </c>
      <c r="V129" s="212">
        <v>2064</v>
      </c>
      <c r="W129" s="19">
        <f>+X129-V129</f>
        <v>1122</v>
      </c>
      <c r="X129" s="212">
        <v>3186</v>
      </c>
      <c r="Y129" s="19">
        <f>+Z129-X129</f>
        <v>1221</v>
      </c>
      <c r="Z129" s="242">
        <v>4407</v>
      </c>
      <c r="AB129" s="218">
        <v>1371</v>
      </c>
      <c r="AC129" s="19">
        <f>+AD129-AB129</f>
        <v>1052</v>
      </c>
      <c r="AD129" s="212">
        <v>2423</v>
      </c>
      <c r="AE129" s="19">
        <f>+AF129-AD129</f>
        <v>1623</v>
      </c>
      <c r="AF129" s="212">
        <v>4046</v>
      </c>
      <c r="AG129" s="19">
        <f>+AH129-AF129</f>
        <v>1625</v>
      </c>
      <c r="AH129" s="242">
        <v>5671</v>
      </c>
      <c r="AJ129" s="218">
        <v>1750</v>
      </c>
      <c r="AK129" s="19">
        <f>+AL129-AJ129</f>
        <v>1316</v>
      </c>
      <c r="AL129" s="212">
        <v>3066</v>
      </c>
      <c r="AM129" s="19">
        <f>+AN129-AL129</f>
        <v>1862</v>
      </c>
      <c r="AN129" s="212">
        <v>4928</v>
      </c>
      <c r="AO129" s="19">
        <f t="shared" si="107"/>
        <v>2392</v>
      </c>
      <c r="AP129" s="242">
        <v>7320</v>
      </c>
      <c r="AR129" s="218">
        <v>2107</v>
      </c>
      <c r="AS129" s="19">
        <f>+AT129-AR129</f>
        <v>1547</v>
      </c>
      <c r="AT129" s="212">
        <v>3654</v>
      </c>
      <c r="AU129" s="19">
        <f>+AV129-AT129</f>
        <v>1759</v>
      </c>
      <c r="AV129" s="212">
        <v>5413</v>
      </c>
      <c r="AW129" s="19">
        <f t="shared" si="114"/>
        <v>1898</v>
      </c>
      <c r="AX129" s="242">
        <v>7311</v>
      </c>
      <c r="AZ129" s="218">
        <v>2107</v>
      </c>
      <c r="BA129" s="19">
        <f>+BB129-AZ129</f>
        <v>1547</v>
      </c>
      <c r="BB129" s="212">
        <v>3654</v>
      </c>
      <c r="BC129" s="19">
        <f t="shared" si="115"/>
        <v>1759</v>
      </c>
      <c r="BD129" s="212">
        <v>5413</v>
      </c>
      <c r="BE129" s="19">
        <f t="shared" si="115"/>
        <v>1898</v>
      </c>
      <c r="BF129" s="242">
        <v>7311</v>
      </c>
      <c r="BH129" s="218">
        <v>1840</v>
      </c>
      <c r="BI129" s="19">
        <f t="shared" si="109"/>
        <v>1182</v>
      </c>
      <c r="BJ129" s="212">
        <v>3022</v>
      </c>
      <c r="BK129" s="19">
        <f t="shared" si="109"/>
        <v>1776</v>
      </c>
      <c r="BL129" s="212">
        <v>4798</v>
      </c>
      <c r="BM129" s="19">
        <f t="shared" si="109"/>
        <v>1703</v>
      </c>
      <c r="BN129" s="242">
        <v>6501</v>
      </c>
      <c r="BP129" s="218">
        <v>1814</v>
      </c>
      <c r="BQ129" s="19">
        <f t="shared" si="116"/>
        <v>-1814</v>
      </c>
      <c r="BR129" s="212"/>
      <c r="BS129" s="19">
        <f t="shared" si="117"/>
        <v>0</v>
      </c>
      <c r="BT129" s="212"/>
      <c r="BU129" s="19">
        <f t="shared" si="118"/>
        <v>0</v>
      </c>
      <c r="BV129" s="242"/>
    </row>
    <row r="130" spans="2:74" ht="12.75">
      <c r="B130" s="133" t="s">
        <v>136</v>
      </c>
      <c r="D130" s="218">
        <v>1074</v>
      </c>
      <c r="E130" s="19">
        <f>+F130-D130</f>
        <v>820</v>
      </c>
      <c r="F130" s="212">
        <v>1894</v>
      </c>
      <c r="G130" s="19">
        <f>+H130-F130</f>
        <v>1016</v>
      </c>
      <c r="H130" s="212">
        <v>2910</v>
      </c>
      <c r="I130" s="19">
        <f>+J130-H130</f>
        <v>727</v>
      </c>
      <c r="J130" s="242">
        <v>3637</v>
      </c>
      <c r="L130" s="218">
        <v>724</v>
      </c>
      <c r="M130" s="19">
        <f>+N130-L130</f>
        <v>630</v>
      </c>
      <c r="N130" s="212">
        <v>1354</v>
      </c>
      <c r="O130" s="19">
        <f>+P130-N130</f>
        <v>744</v>
      </c>
      <c r="P130" s="212">
        <v>2098</v>
      </c>
      <c r="Q130" s="19">
        <f>+R130-P130</f>
        <v>1011</v>
      </c>
      <c r="R130" s="242">
        <v>3109</v>
      </c>
      <c r="T130" s="218">
        <v>724</v>
      </c>
      <c r="U130" s="19">
        <f>+V130-T130</f>
        <v>630</v>
      </c>
      <c r="V130" s="212">
        <v>1354</v>
      </c>
      <c r="W130" s="19">
        <f>+X130-V130</f>
        <v>744</v>
      </c>
      <c r="X130" s="212">
        <v>2098</v>
      </c>
      <c r="Y130" s="19">
        <f>+Z130-X130</f>
        <v>1011</v>
      </c>
      <c r="Z130" s="242">
        <v>3109</v>
      </c>
      <c r="AB130" s="218">
        <v>1034</v>
      </c>
      <c r="AC130" s="19">
        <f>+AD130-AB130</f>
        <v>1341</v>
      </c>
      <c r="AD130" s="212">
        <v>2375</v>
      </c>
      <c r="AE130" s="19">
        <f>+AF130-AD130</f>
        <v>1490</v>
      </c>
      <c r="AF130" s="212">
        <v>3865</v>
      </c>
      <c r="AG130" s="19">
        <f>+AH130-AF130</f>
        <v>2007</v>
      </c>
      <c r="AH130" s="242">
        <v>5872</v>
      </c>
      <c r="AJ130" s="218">
        <v>1536</v>
      </c>
      <c r="AK130" s="19">
        <f>+AL130-AJ130</f>
        <v>2450</v>
      </c>
      <c r="AL130" s="212">
        <v>3986</v>
      </c>
      <c r="AM130" s="19">
        <f>+AN130-AL130</f>
        <v>2071</v>
      </c>
      <c r="AN130" s="212">
        <v>6057</v>
      </c>
      <c r="AO130" s="19">
        <f t="shared" si="107"/>
        <v>1972</v>
      </c>
      <c r="AP130" s="242">
        <v>8029</v>
      </c>
      <c r="AR130" s="218">
        <v>1558</v>
      </c>
      <c r="AS130" s="19">
        <f>+AT130-AR130</f>
        <v>1851</v>
      </c>
      <c r="AT130" s="212">
        <v>3409</v>
      </c>
      <c r="AU130" s="19">
        <f>+AV130-AT130</f>
        <v>1613</v>
      </c>
      <c r="AV130" s="212">
        <v>5022</v>
      </c>
      <c r="AW130" s="19">
        <f t="shared" si="114"/>
        <v>2044</v>
      </c>
      <c r="AX130" s="242">
        <v>7066</v>
      </c>
      <c r="AZ130" s="218">
        <v>1558</v>
      </c>
      <c r="BA130" s="19">
        <f>+BB130-AZ130</f>
        <v>1851</v>
      </c>
      <c r="BB130" s="212">
        <v>3409</v>
      </c>
      <c r="BC130" s="19">
        <f t="shared" si="115"/>
        <v>1613</v>
      </c>
      <c r="BD130" s="212">
        <v>5022</v>
      </c>
      <c r="BE130" s="19">
        <f t="shared" si="115"/>
        <v>2044</v>
      </c>
      <c r="BF130" s="242">
        <v>7066</v>
      </c>
      <c r="BH130" s="218">
        <v>1608</v>
      </c>
      <c r="BI130" s="19">
        <f t="shared" si="109"/>
        <v>1900</v>
      </c>
      <c r="BJ130" s="212">
        <v>3508</v>
      </c>
      <c r="BK130" s="19">
        <f t="shared" si="109"/>
        <v>1770</v>
      </c>
      <c r="BL130" s="212">
        <v>5278</v>
      </c>
      <c r="BM130" s="19">
        <f t="shared" si="109"/>
        <v>1612</v>
      </c>
      <c r="BN130" s="242">
        <v>6890</v>
      </c>
      <c r="BP130" s="218">
        <v>989</v>
      </c>
      <c r="BQ130" s="19">
        <f t="shared" si="116"/>
        <v>-989</v>
      </c>
      <c r="BR130" s="212"/>
      <c r="BS130" s="19">
        <f t="shared" si="117"/>
        <v>0</v>
      </c>
      <c r="BT130" s="212"/>
      <c r="BU130" s="19">
        <f t="shared" si="118"/>
        <v>0</v>
      </c>
      <c r="BV130" s="242"/>
    </row>
    <row r="131" spans="2:74" ht="12.75">
      <c r="B131" s="266" t="s">
        <v>135</v>
      </c>
      <c r="D131" s="167">
        <f aca="true" t="shared" si="119" ref="D131:J131">SUM(D127:D130)</f>
        <v>4863</v>
      </c>
      <c r="E131" s="24">
        <f t="shared" si="119"/>
        <v>3132</v>
      </c>
      <c r="F131" s="24">
        <f t="shared" si="119"/>
        <v>7995</v>
      </c>
      <c r="G131" s="56">
        <f t="shared" si="119"/>
        <v>3622</v>
      </c>
      <c r="H131" s="56">
        <f t="shared" si="119"/>
        <v>11617</v>
      </c>
      <c r="I131" s="23">
        <f t="shared" si="119"/>
        <v>4042</v>
      </c>
      <c r="J131" s="143">
        <f t="shared" si="119"/>
        <v>15659</v>
      </c>
      <c r="L131" s="167">
        <f aca="true" t="shared" si="120" ref="L131:R131">SUM(L127:L130)</f>
        <v>3947</v>
      </c>
      <c r="M131" s="24">
        <f t="shared" si="120"/>
        <v>2499</v>
      </c>
      <c r="N131" s="24">
        <f t="shared" si="120"/>
        <v>6446</v>
      </c>
      <c r="O131" s="56">
        <f t="shared" si="120"/>
        <v>2821</v>
      </c>
      <c r="P131" s="56">
        <f t="shared" si="120"/>
        <v>9267</v>
      </c>
      <c r="Q131" s="23">
        <f t="shared" si="120"/>
        <v>3976</v>
      </c>
      <c r="R131" s="143">
        <f t="shared" si="120"/>
        <v>13243</v>
      </c>
      <c r="T131" s="167">
        <f aca="true" t="shared" si="121" ref="T131:Z131">SUM(T127:T130)</f>
        <v>3947</v>
      </c>
      <c r="U131" s="24">
        <f t="shared" si="121"/>
        <v>2499</v>
      </c>
      <c r="V131" s="24">
        <f t="shared" si="121"/>
        <v>6446</v>
      </c>
      <c r="W131" s="56">
        <f t="shared" si="121"/>
        <v>2821</v>
      </c>
      <c r="X131" s="56">
        <f t="shared" si="121"/>
        <v>9267</v>
      </c>
      <c r="Y131" s="23">
        <f t="shared" si="121"/>
        <v>3976</v>
      </c>
      <c r="Z131" s="143">
        <f t="shared" si="121"/>
        <v>13243</v>
      </c>
      <c r="AB131" s="167">
        <f aca="true" t="shared" si="122" ref="AB131:AH131">SUM(AB127:AB130)</f>
        <v>4600</v>
      </c>
      <c r="AC131" s="24">
        <f t="shared" si="122"/>
        <v>3443</v>
      </c>
      <c r="AD131" s="24">
        <f t="shared" si="122"/>
        <v>8043</v>
      </c>
      <c r="AE131" s="56">
        <f t="shared" si="122"/>
        <v>4026</v>
      </c>
      <c r="AF131" s="56">
        <f t="shared" si="122"/>
        <v>12069</v>
      </c>
      <c r="AG131" s="23">
        <f t="shared" si="122"/>
        <v>5507</v>
      </c>
      <c r="AH131" s="143">
        <f t="shared" si="122"/>
        <v>17576</v>
      </c>
      <c r="AJ131" s="167">
        <f>SUM(AJ127:AJ130)</f>
        <v>5593</v>
      </c>
      <c r="AK131" s="24">
        <f>SUM(AK127:AK130)</f>
        <v>4945</v>
      </c>
      <c r="AL131" s="24">
        <f>SUM(AL127:AL130)</f>
        <v>10538</v>
      </c>
      <c r="AM131" s="56">
        <f>SUM(AM127:AM130)</f>
        <v>5005</v>
      </c>
      <c r="AN131" s="56">
        <f>SUM(AN127:AN130)</f>
        <v>15543</v>
      </c>
      <c r="AO131" s="23">
        <f t="shared" si="107"/>
        <v>6338</v>
      </c>
      <c r="AP131" s="143">
        <f>+AP127+AP128+AP129+AP130</f>
        <v>21881</v>
      </c>
      <c r="AR131" s="167">
        <f>+SUM(AR127:AR130)</f>
        <v>5995</v>
      </c>
      <c r="AS131" s="24">
        <f>SUM(AS127:AS130)</f>
        <v>4656</v>
      </c>
      <c r="AT131" s="24">
        <f>SUM(AT127:AT130)</f>
        <v>10651</v>
      </c>
      <c r="AU131" s="56">
        <f>SUM(AU127:AU130)</f>
        <v>4546</v>
      </c>
      <c r="AV131" s="24">
        <f>SUM(AV127:AV130)</f>
        <v>15197</v>
      </c>
      <c r="AW131" s="23">
        <f t="shared" si="114"/>
        <v>6091</v>
      </c>
      <c r="AX131" s="143">
        <f>+AX127+AX128+AX129+AX130</f>
        <v>21288</v>
      </c>
      <c r="AZ131" s="167">
        <f>+SUM(AZ127:AZ130)</f>
        <v>5995</v>
      </c>
      <c r="BA131" s="24">
        <f>SUM(BA127:BA130)</f>
        <v>4656</v>
      </c>
      <c r="BB131" s="24">
        <f>SUM(BB127:BB130)</f>
        <v>10651</v>
      </c>
      <c r="BC131" s="56">
        <f>SUM(BC127:BC130)</f>
        <v>4546</v>
      </c>
      <c r="BD131" s="24">
        <f>SUM(BD127:BD130)</f>
        <v>15197</v>
      </c>
      <c r="BE131" s="56">
        <f>SUM(BE127:BE130)</f>
        <v>6091</v>
      </c>
      <c r="BF131" s="143">
        <f>+BF127+BF128+BF129+BF130</f>
        <v>21288</v>
      </c>
      <c r="BH131" s="167">
        <f>SUM(BH127:BH130)</f>
        <v>5979</v>
      </c>
      <c r="BI131" s="24">
        <f t="shared" si="109"/>
        <v>4342</v>
      </c>
      <c r="BJ131" s="24">
        <f>+SUM(BJ127:BJ130)</f>
        <v>10321</v>
      </c>
      <c r="BK131" s="24">
        <f t="shared" si="109"/>
        <v>4724</v>
      </c>
      <c r="BL131" s="24">
        <f>+SUM(BL127:BL130)</f>
        <v>15045</v>
      </c>
      <c r="BM131" s="24">
        <f t="shared" si="109"/>
        <v>5668</v>
      </c>
      <c r="BN131" s="278">
        <f>+SUM(BN127:BN130)</f>
        <v>20713</v>
      </c>
      <c r="BP131" s="167">
        <f>SUM(BP127:BP130)</f>
        <v>5482</v>
      </c>
      <c r="BQ131" s="24">
        <f t="shared" si="116"/>
        <v>-5482</v>
      </c>
      <c r="BR131" s="24">
        <f>+SUM(BR127:BR130)</f>
        <v>0</v>
      </c>
      <c r="BS131" s="24">
        <f t="shared" si="117"/>
        <v>0</v>
      </c>
      <c r="BT131" s="24">
        <f>+SUM(BT127:BT130)</f>
        <v>0</v>
      </c>
      <c r="BU131" s="24">
        <f t="shared" si="118"/>
        <v>0</v>
      </c>
      <c r="BV131" s="278">
        <f>+SUM(BV127:BV130)</f>
        <v>0</v>
      </c>
    </row>
    <row r="132" spans="2:74" s="158" customFormat="1" ht="12" customHeight="1">
      <c r="B132" s="163" t="s">
        <v>393</v>
      </c>
      <c r="D132" s="235">
        <v>443</v>
      </c>
      <c r="E132" s="80">
        <f>+F132-D132</f>
        <v>459</v>
      </c>
      <c r="F132" s="236">
        <v>902</v>
      </c>
      <c r="G132" s="80">
        <f>+H132-F132</f>
        <v>454</v>
      </c>
      <c r="H132" s="236">
        <v>1356</v>
      </c>
      <c r="I132" s="80">
        <f>+J132-H132</f>
        <v>443</v>
      </c>
      <c r="J132" s="246">
        <v>1799</v>
      </c>
      <c r="L132" s="235">
        <v>454</v>
      </c>
      <c r="M132" s="80">
        <f>+N132-L132</f>
        <v>438</v>
      </c>
      <c r="N132" s="236">
        <v>892</v>
      </c>
      <c r="O132" s="80">
        <f>+P132-N132</f>
        <v>422</v>
      </c>
      <c r="P132" s="236">
        <v>1314</v>
      </c>
      <c r="Q132" s="80">
        <f>+R132-P132</f>
        <v>420</v>
      </c>
      <c r="R132" s="246">
        <v>1734</v>
      </c>
      <c r="T132" s="235">
        <v>454</v>
      </c>
      <c r="U132" s="80">
        <f>+V132-T132</f>
        <v>438</v>
      </c>
      <c r="V132" s="236">
        <v>892</v>
      </c>
      <c r="W132" s="80">
        <f>+X132-V132</f>
        <v>422</v>
      </c>
      <c r="X132" s="236">
        <v>1314</v>
      </c>
      <c r="Y132" s="80">
        <f>+Z132-X132</f>
        <v>420</v>
      </c>
      <c r="Z132" s="246">
        <v>1734</v>
      </c>
      <c r="AB132" s="235">
        <v>398</v>
      </c>
      <c r="AC132" s="80">
        <f>+AD132-AB132</f>
        <v>382</v>
      </c>
      <c r="AD132" s="236">
        <v>780</v>
      </c>
      <c r="AE132" s="80">
        <f>+AF132-AD132</f>
        <v>355</v>
      </c>
      <c r="AF132" s="236">
        <v>1135</v>
      </c>
      <c r="AG132" s="80">
        <f>+AH132-AF132</f>
        <v>373</v>
      </c>
      <c r="AH132" s="246">
        <v>1508</v>
      </c>
      <c r="AJ132" s="235">
        <v>375</v>
      </c>
      <c r="AK132" s="80">
        <f>+AL132-AJ132</f>
        <v>383</v>
      </c>
      <c r="AL132" s="236">
        <v>758</v>
      </c>
      <c r="AM132" s="80">
        <f>+AN132-AL132</f>
        <v>356</v>
      </c>
      <c r="AN132" s="236">
        <v>1114</v>
      </c>
      <c r="AO132" s="80">
        <f t="shared" si="107"/>
        <v>289</v>
      </c>
      <c r="AP132" s="246">
        <v>1403</v>
      </c>
      <c r="AR132" s="235">
        <v>333</v>
      </c>
      <c r="AS132" s="80">
        <f>+AT132-AR132</f>
        <v>453</v>
      </c>
      <c r="AT132" s="236">
        <v>786</v>
      </c>
      <c r="AU132" s="80">
        <f>+AV132-AT132</f>
        <v>468</v>
      </c>
      <c r="AV132" s="236">
        <v>1254</v>
      </c>
      <c r="AW132" s="80">
        <f t="shared" si="114"/>
        <v>382</v>
      </c>
      <c r="AX132" s="246">
        <v>1636</v>
      </c>
      <c r="AZ132" s="235">
        <v>333</v>
      </c>
      <c r="BA132" s="80">
        <f>+BB132-AZ132</f>
        <v>453</v>
      </c>
      <c r="BB132" s="236">
        <v>786</v>
      </c>
      <c r="BC132" s="80">
        <f t="shared" si="115"/>
        <v>468</v>
      </c>
      <c r="BD132" s="236">
        <v>1254</v>
      </c>
      <c r="BE132" s="80">
        <f t="shared" si="115"/>
        <v>382</v>
      </c>
      <c r="BF132" s="246">
        <v>1636</v>
      </c>
      <c r="BH132" s="235">
        <v>455</v>
      </c>
      <c r="BI132" s="80">
        <f t="shared" si="109"/>
        <v>458</v>
      </c>
      <c r="BJ132" s="236">
        <v>913</v>
      </c>
      <c r="BK132" s="80">
        <f t="shared" si="109"/>
        <v>500</v>
      </c>
      <c r="BL132" s="236">
        <v>1413</v>
      </c>
      <c r="BM132" s="80">
        <f t="shared" si="109"/>
        <v>496</v>
      </c>
      <c r="BN132" s="246">
        <v>1909</v>
      </c>
      <c r="BP132" s="235">
        <v>453</v>
      </c>
      <c r="BQ132" s="80">
        <f t="shared" si="116"/>
        <v>-453</v>
      </c>
      <c r="BR132" s="236"/>
      <c r="BS132" s="80">
        <f t="shared" si="117"/>
        <v>0</v>
      </c>
      <c r="BT132" s="236"/>
      <c r="BU132" s="80">
        <f t="shared" si="118"/>
        <v>0</v>
      </c>
      <c r="BV132" s="246"/>
    </row>
    <row r="133" spans="9:76" ht="12.75">
      <c r="I133" s="57"/>
      <c r="P133" s="101"/>
      <c r="AV133" s="164"/>
      <c r="BD133" s="164"/>
      <c r="BG133" s="40"/>
      <c r="BH133" s="40"/>
      <c r="BJ133" s="40"/>
      <c r="BK133" s="40"/>
      <c r="BL133" s="40"/>
      <c r="BM133" s="40"/>
      <c r="BN133" s="40"/>
      <c r="BO133" s="40"/>
      <c r="BP133" s="40"/>
      <c r="BR133" s="40"/>
      <c r="BS133" s="40"/>
      <c r="BT133" s="40"/>
      <c r="BU133" s="40"/>
      <c r="BV133" s="40"/>
      <c r="BW133" s="40"/>
      <c r="BX133" s="40"/>
    </row>
    <row r="134" spans="48:56" ht="12.75">
      <c r="AV134" s="164"/>
      <c r="BD134" s="164"/>
    </row>
    <row r="135" spans="2:74" s="51" customFormat="1" ht="17.25" customHeight="1">
      <c r="B135" s="129" t="s">
        <v>497</v>
      </c>
      <c r="D135" s="322" t="s">
        <v>220</v>
      </c>
      <c r="E135" s="323" t="s">
        <v>221</v>
      </c>
      <c r="F135" s="323" t="s">
        <v>222</v>
      </c>
      <c r="G135" s="323" t="s">
        <v>223</v>
      </c>
      <c r="H135" s="323" t="s">
        <v>224</v>
      </c>
      <c r="I135" s="323" t="s">
        <v>225</v>
      </c>
      <c r="J135" s="324" t="s">
        <v>226</v>
      </c>
      <c r="L135" s="322" t="s">
        <v>234</v>
      </c>
      <c r="M135" s="323" t="s">
        <v>235</v>
      </c>
      <c r="N135" s="323" t="s">
        <v>236</v>
      </c>
      <c r="O135" s="323" t="s">
        <v>237</v>
      </c>
      <c r="P135" s="323" t="s">
        <v>238</v>
      </c>
      <c r="Q135" s="323" t="s">
        <v>239</v>
      </c>
      <c r="R135" s="324" t="s">
        <v>240</v>
      </c>
      <c r="T135" s="322" t="str">
        <f>+T4</f>
        <v>IQ 2014</v>
      </c>
      <c r="U135" s="323" t="str">
        <f aca="true" t="shared" si="123" ref="U135:Z135">+U4</f>
        <v>IIQ 2014</v>
      </c>
      <c r="V135" s="323" t="str">
        <f t="shared" si="123"/>
        <v>IH 2014</v>
      </c>
      <c r="W135" s="323" t="str">
        <f t="shared" si="123"/>
        <v>III Q 2014</v>
      </c>
      <c r="X135" s="323" t="str">
        <f t="shared" si="123"/>
        <v>9M 2014</v>
      </c>
      <c r="Y135" s="323" t="str">
        <f t="shared" si="123"/>
        <v>IV Q 2014</v>
      </c>
      <c r="Z135" s="324" t="str">
        <f t="shared" si="123"/>
        <v>FY 2014</v>
      </c>
      <c r="AB135" s="322" t="str">
        <f>+AB4</f>
        <v>IQ 2015</v>
      </c>
      <c r="AC135" s="323" t="str">
        <f aca="true" t="shared" si="124" ref="AC135:AH135">+AC4</f>
        <v>IIQ 2015</v>
      </c>
      <c r="AD135" s="323" t="str">
        <f t="shared" si="124"/>
        <v>IH 2015</v>
      </c>
      <c r="AE135" s="323" t="str">
        <f t="shared" si="124"/>
        <v>III Q 2015</v>
      </c>
      <c r="AF135" s="323" t="str">
        <f t="shared" si="124"/>
        <v>9M 2015</v>
      </c>
      <c r="AG135" s="323" t="str">
        <f t="shared" si="124"/>
        <v>IV Q 2015</v>
      </c>
      <c r="AH135" s="324" t="str">
        <f t="shared" si="124"/>
        <v>FY 2015</v>
      </c>
      <c r="AJ135" s="322" t="s">
        <v>279</v>
      </c>
      <c r="AK135" s="323" t="s">
        <v>280</v>
      </c>
      <c r="AL135" s="323" t="s">
        <v>281</v>
      </c>
      <c r="AM135" s="323" t="s">
        <v>282</v>
      </c>
      <c r="AN135" s="323" t="s">
        <v>283</v>
      </c>
      <c r="AO135" s="323" t="s">
        <v>284</v>
      </c>
      <c r="AP135" s="324" t="s">
        <v>355</v>
      </c>
      <c r="AR135" s="322" t="str">
        <f>+AR116</f>
        <v>IQ 2017</v>
      </c>
      <c r="AS135" s="322" t="str">
        <f aca="true" t="shared" si="125" ref="AS135:AX135">+AS116</f>
        <v>IIQ 2017</v>
      </c>
      <c r="AT135" s="322" t="str">
        <f t="shared" si="125"/>
        <v>IH 2017</v>
      </c>
      <c r="AU135" s="322" t="str">
        <f t="shared" si="125"/>
        <v>III Q 2017</v>
      </c>
      <c r="AV135" s="322" t="str">
        <f t="shared" si="125"/>
        <v>9M 2017</v>
      </c>
      <c r="AW135" s="322" t="str">
        <f t="shared" si="125"/>
        <v>IV Q 2017</v>
      </c>
      <c r="AX135" s="322" t="str">
        <f t="shared" si="125"/>
        <v>FY 2017</v>
      </c>
      <c r="AZ135" s="322" t="s">
        <v>506</v>
      </c>
      <c r="BA135" s="323" t="s">
        <v>508</v>
      </c>
      <c r="BB135" s="323" t="s">
        <v>561</v>
      </c>
      <c r="BC135" s="323" t="s">
        <v>509</v>
      </c>
      <c r="BD135" s="323" t="s">
        <v>510</v>
      </c>
      <c r="BE135" s="323" t="s">
        <v>511</v>
      </c>
      <c r="BF135" s="324" t="s">
        <v>533</v>
      </c>
      <c r="BH135" s="322" t="str">
        <f>+BH116</f>
        <v>IQ 2018</v>
      </c>
      <c r="BI135" s="323" t="str">
        <f aca="true" t="shared" si="126" ref="BI135:BN135">+BI116</f>
        <v>IIQ 2018 </v>
      </c>
      <c r="BJ135" s="323" t="str">
        <f t="shared" si="126"/>
        <v>IH 2018</v>
      </c>
      <c r="BK135" s="323" t="str">
        <f t="shared" si="126"/>
        <v>III Q 2018</v>
      </c>
      <c r="BL135" s="323" t="str">
        <f t="shared" si="126"/>
        <v>9M 2018</v>
      </c>
      <c r="BM135" s="323" t="str">
        <f t="shared" si="126"/>
        <v>IV Q 2018</v>
      </c>
      <c r="BN135" s="324" t="str">
        <f t="shared" si="126"/>
        <v>FY 2018</v>
      </c>
      <c r="BP135" s="850" t="str">
        <f>+BP116</f>
        <v>IQ 2019</v>
      </c>
      <c r="BQ135" s="851" t="str">
        <f aca="true" t="shared" si="127" ref="BQ135:BV135">+BQ116</f>
        <v>IIQ 2019 </v>
      </c>
      <c r="BR135" s="851" t="str">
        <f t="shared" si="127"/>
        <v>IH 2019</v>
      </c>
      <c r="BS135" s="851" t="str">
        <f t="shared" si="127"/>
        <v>III Q 2019</v>
      </c>
      <c r="BT135" s="851" t="str">
        <f t="shared" si="127"/>
        <v>9M 2019</v>
      </c>
      <c r="BU135" s="851" t="str">
        <f t="shared" si="127"/>
        <v>IV Q 2019</v>
      </c>
      <c r="BV135" s="852" t="str">
        <f t="shared" si="127"/>
        <v>FY 2019</v>
      </c>
    </row>
    <row r="136" spans="2:74" ht="12.75">
      <c r="B136" s="154"/>
      <c r="D136" s="103"/>
      <c r="I136" s="57"/>
      <c r="J136" s="95"/>
      <c r="L136" s="103"/>
      <c r="R136" s="95"/>
      <c r="T136" s="103"/>
      <c r="Z136" s="95"/>
      <c r="AB136" s="103"/>
      <c r="AH136" s="95"/>
      <c r="AJ136" s="181"/>
      <c r="AK136" s="182"/>
      <c r="AL136" s="182"/>
      <c r="AM136" s="182"/>
      <c r="AN136" s="182"/>
      <c r="AO136" s="182"/>
      <c r="AP136" s="183"/>
      <c r="AR136" s="181"/>
      <c r="AS136" s="182"/>
      <c r="AT136" s="182"/>
      <c r="AU136" s="182"/>
      <c r="AV136" s="336"/>
      <c r="AW136" s="182"/>
      <c r="AX136" s="183"/>
      <c r="AZ136" s="181"/>
      <c r="BA136" s="182"/>
      <c r="BB136" s="182"/>
      <c r="BC136" s="182"/>
      <c r="BD136" s="336"/>
      <c r="BE136" s="182"/>
      <c r="BF136" s="183"/>
      <c r="BH136" s="181"/>
      <c r="BI136" s="182"/>
      <c r="BJ136" s="182"/>
      <c r="BK136" s="182"/>
      <c r="BL136" s="336"/>
      <c r="BM136" s="182"/>
      <c r="BN136" s="183"/>
      <c r="BP136" s="181"/>
      <c r="BQ136" s="182"/>
      <c r="BR136" s="182"/>
      <c r="BS136" s="182"/>
      <c r="BT136" s="336"/>
      <c r="BU136" s="182"/>
      <c r="BV136" s="183"/>
    </row>
    <row r="137" spans="2:74" ht="12.75">
      <c r="B137" s="294" t="s">
        <v>498</v>
      </c>
      <c r="D137" s="103"/>
      <c r="I137" s="57"/>
      <c r="J137" s="95"/>
      <c r="L137" s="103"/>
      <c r="R137" s="95"/>
      <c r="T137" s="103"/>
      <c r="Z137" s="95"/>
      <c r="AB137" s="103"/>
      <c r="AH137" s="95"/>
      <c r="AJ137" s="103"/>
      <c r="AP137" s="95"/>
      <c r="AR137" s="103"/>
      <c r="AV137" s="164"/>
      <c r="AX137" s="95"/>
      <c r="AZ137" s="103"/>
      <c r="BD137" s="164"/>
      <c r="BF137" s="95"/>
      <c r="BH137" s="103"/>
      <c r="BL137" s="164"/>
      <c r="BN137" s="95"/>
      <c r="BP137" s="103"/>
      <c r="BT137" s="164"/>
      <c r="BV137" s="95"/>
    </row>
    <row r="138" spans="2:74" ht="12.75">
      <c r="B138" s="168" t="s">
        <v>499</v>
      </c>
      <c r="D138" s="218">
        <v>355</v>
      </c>
      <c r="E138" s="19">
        <f>+F138-D138</f>
        <v>348</v>
      </c>
      <c r="F138" s="212">
        <v>703</v>
      </c>
      <c r="G138" s="19">
        <f>+H138-F138</f>
        <v>557</v>
      </c>
      <c r="H138" s="212">
        <v>1260</v>
      </c>
      <c r="I138" s="19">
        <f>+J138-H138</f>
        <v>680</v>
      </c>
      <c r="J138" s="242">
        <v>1940</v>
      </c>
      <c r="L138" s="218">
        <v>639</v>
      </c>
      <c r="M138" s="19">
        <f>+N138-L138</f>
        <v>551</v>
      </c>
      <c r="N138" s="212">
        <v>1190</v>
      </c>
      <c r="O138" s="19">
        <f>+P138-N138</f>
        <v>716</v>
      </c>
      <c r="P138" s="212">
        <v>1906</v>
      </c>
      <c r="Q138" s="19">
        <f>+R138-P138</f>
        <v>714</v>
      </c>
      <c r="R138" s="242">
        <v>2620</v>
      </c>
      <c r="T138" s="218">
        <v>639</v>
      </c>
      <c r="U138" s="19">
        <f>+V138-T138</f>
        <v>551</v>
      </c>
      <c r="V138" s="212">
        <v>1190</v>
      </c>
      <c r="W138" s="19">
        <f>+X138-V138</f>
        <v>716</v>
      </c>
      <c r="X138" s="212">
        <v>1906</v>
      </c>
      <c r="Y138" s="19">
        <f>+Z138-X138</f>
        <v>714</v>
      </c>
      <c r="Z138" s="242">
        <v>2620</v>
      </c>
      <c r="AB138" s="218">
        <v>665</v>
      </c>
      <c r="AC138" s="19">
        <f>+AD138-AB138</f>
        <v>655</v>
      </c>
      <c r="AD138" s="212">
        <v>1320</v>
      </c>
      <c r="AE138" s="19">
        <f>+AF138-AD138</f>
        <v>633</v>
      </c>
      <c r="AF138" s="212">
        <v>1953</v>
      </c>
      <c r="AG138" s="19">
        <f>+AH138-AF138</f>
        <v>593</v>
      </c>
      <c r="AH138" s="242">
        <v>2546</v>
      </c>
      <c r="AJ138" s="218">
        <v>561</v>
      </c>
      <c r="AK138" s="19">
        <f>+AL138-AJ138</f>
        <v>564</v>
      </c>
      <c r="AL138" s="212">
        <v>1125</v>
      </c>
      <c r="AM138" s="19">
        <f>+AN138-AL138</f>
        <v>542</v>
      </c>
      <c r="AN138" s="212">
        <v>1667</v>
      </c>
      <c r="AO138" s="19">
        <f>+AP138-AN138</f>
        <v>496</v>
      </c>
      <c r="AP138" s="242">
        <v>2163</v>
      </c>
      <c r="AR138" s="218">
        <v>467</v>
      </c>
      <c r="AS138" s="19">
        <f>+AT138-AR138</f>
        <v>481</v>
      </c>
      <c r="AT138" s="212">
        <v>948</v>
      </c>
      <c r="AU138" s="19">
        <f>+AV138-AT138</f>
        <v>472</v>
      </c>
      <c r="AV138" s="212">
        <v>1420</v>
      </c>
      <c r="AW138" s="19">
        <f>+AX138-AV138</f>
        <v>454</v>
      </c>
      <c r="AX138" s="242">
        <v>1874</v>
      </c>
      <c r="AZ138" s="218">
        <v>467</v>
      </c>
      <c r="BA138" s="19">
        <f>+BB138-AZ138</f>
        <v>481</v>
      </c>
      <c r="BB138" s="212">
        <v>948</v>
      </c>
      <c r="BC138" s="19">
        <f aca="true" t="shared" si="128" ref="BC138:BE139">+BD138-BB138</f>
        <v>472</v>
      </c>
      <c r="BD138" s="212">
        <v>1420</v>
      </c>
      <c r="BE138" s="19">
        <f t="shared" si="128"/>
        <v>454</v>
      </c>
      <c r="BF138" s="242">
        <v>1874</v>
      </c>
      <c r="BG138" s="40"/>
      <c r="BH138" s="218">
        <v>401</v>
      </c>
      <c r="BI138" s="19">
        <f>+BJ138-BH138</f>
        <v>463</v>
      </c>
      <c r="BJ138" s="212">
        <v>864</v>
      </c>
      <c r="BK138" s="19">
        <f>+BL138-BJ138</f>
        <v>424</v>
      </c>
      <c r="BL138" s="212">
        <v>1288</v>
      </c>
      <c r="BM138" s="19">
        <f>+BN138-BL138</f>
        <v>376</v>
      </c>
      <c r="BN138" s="242">
        <v>1664</v>
      </c>
      <c r="BO138" s="40"/>
      <c r="BP138" s="218">
        <v>415</v>
      </c>
      <c r="BQ138" s="19">
        <f>+BR138-BP138</f>
        <v>-415</v>
      </c>
      <c r="BR138" s="212"/>
      <c r="BS138" s="19">
        <f>+BT138-BR138</f>
        <v>0</v>
      </c>
      <c r="BT138" s="212"/>
      <c r="BU138" s="19">
        <f>+BV138-BT138</f>
        <v>0</v>
      </c>
      <c r="BV138" s="242"/>
    </row>
    <row r="139" spans="2:74" ht="14.25">
      <c r="B139" s="296" t="s">
        <v>502</v>
      </c>
      <c r="C139" s="158"/>
      <c r="D139" s="211">
        <v>443</v>
      </c>
      <c r="E139" s="19">
        <f>+F139-D139</f>
        <v>404</v>
      </c>
      <c r="F139" s="210">
        <v>847</v>
      </c>
      <c r="G139" s="19">
        <f>+H139-F139</f>
        <v>418</v>
      </c>
      <c r="H139" s="210">
        <v>1265</v>
      </c>
      <c r="I139" s="19">
        <f>+J139-H139</f>
        <v>375</v>
      </c>
      <c r="J139" s="237">
        <v>1640</v>
      </c>
      <c r="K139" s="158"/>
      <c r="L139" s="211">
        <v>410</v>
      </c>
      <c r="M139" s="19">
        <f>+N139-L139</f>
        <v>390</v>
      </c>
      <c r="N139" s="210">
        <v>800</v>
      </c>
      <c r="O139" s="19">
        <f>+P139-N139</f>
        <v>369</v>
      </c>
      <c r="P139" s="210">
        <v>1169</v>
      </c>
      <c r="Q139" s="19">
        <f>+R139-P139</f>
        <v>372</v>
      </c>
      <c r="R139" s="237">
        <v>1541</v>
      </c>
      <c r="S139" s="158"/>
      <c r="T139" s="211">
        <v>410</v>
      </c>
      <c r="U139" s="19">
        <f>+V139-T139</f>
        <v>390</v>
      </c>
      <c r="V139" s="210">
        <v>800</v>
      </c>
      <c r="W139" s="19">
        <f>+X139-V139</f>
        <v>369</v>
      </c>
      <c r="X139" s="210">
        <v>1169</v>
      </c>
      <c r="Y139" s="19">
        <f>+Z139-X139</f>
        <v>372</v>
      </c>
      <c r="Z139" s="237">
        <v>1541</v>
      </c>
      <c r="AA139" s="158"/>
      <c r="AB139" s="218">
        <v>363</v>
      </c>
      <c r="AC139" s="19">
        <f>+AD139-AB139</f>
        <v>442</v>
      </c>
      <c r="AD139" s="170">
        <v>805</v>
      </c>
      <c r="AE139" s="19">
        <f>+AF139-AD139</f>
        <v>448</v>
      </c>
      <c r="AF139" s="210">
        <v>1253</v>
      </c>
      <c r="AG139" s="19">
        <f>+AH139-AF139</f>
        <v>555</v>
      </c>
      <c r="AH139" s="237">
        <v>1808</v>
      </c>
      <c r="AI139" s="158"/>
      <c r="AJ139" s="211">
        <v>586</v>
      </c>
      <c r="AK139" s="19">
        <f>+AL139-AJ139</f>
        <v>514</v>
      </c>
      <c r="AL139" s="210">
        <v>1100</v>
      </c>
      <c r="AM139" s="19">
        <f>+AN139-AL139</f>
        <v>454</v>
      </c>
      <c r="AN139" s="210">
        <v>1554</v>
      </c>
      <c r="AO139" s="19">
        <f>+AP139-AN139</f>
        <v>426</v>
      </c>
      <c r="AP139" s="237">
        <v>1980</v>
      </c>
      <c r="AQ139" s="158"/>
      <c r="AR139" s="211">
        <v>479</v>
      </c>
      <c r="AS139" s="19">
        <f>+AT139-AR139</f>
        <v>669</v>
      </c>
      <c r="AT139" s="210">
        <v>1148</v>
      </c>
      <c r="AU139" s="19">
        <f>+AV139-AT139</f>
        <v>510</v>
      </c>
      <c r="AV139" s="210">
        <v>1658</v>
      </c>
      <c r="AW139" s="19">
        <f>+AX139-AV139</f>
        <v>469</v>
      </c>
      <c r="AX139" s="237">
        <v>2127</v>
      </c>
      <c r="AY139" s="158"/>
      <c r="AZ139" s="211">
        <v>479</v>
      </c>
      <c r="BA139" s="19">
        <f>+BB139-AZ139</f>
        <v>669</v>
      </c>
      <c r="BB139" s="210">
        <v>1148</v>
      </c>
      <c r="BC139" s="19">
        <f t="shared" si="128"/>
        <v>510</v>
      </c>
      <c r="BD139" s="210">
        <v>1658</v>
      </c>
      <c r="BE139" s="19">
        <f t="shared" si="128"/>
        <v>469</v>
      </c>
      <c r="BF139" s="237">
        <v>2127</v>
      </c>
      <c r="BH139" s="211">
        <v>622</v>
      </c>
      <c r="BI139" s="19">
        <f>+BJ139-BH139</f>
        <v>553</v>
      </c>
      <c r="BJ139" s="210">
        <v>1175</v>
      </c>
      <c r="BK139" s="19">
        <f>+BL139-BJ139</f>
        <v>560</v>
      </c>
      <c r="BL139" s="210">
        <v>1735</v>
      </c>
      <c r="BM139" s="19">
        <f>+BN139-BL139</f>
        <v>614</v>
      </c>
      <c r="BN139" s="237">
        <v>2349</v>
      </c>
      <c r="BP139" s="211">
        <v>558</v>
      </c>
      <c r="BQ139" s="19">
        <f>+BR139-BP139</f>
        <v>-558</v>
      </c>
      <c r="BR139" s="210"/>
      <c r="BS139" s="19">
        <f>+BT139-BR139</f>
        <v>0</v>
      </c>
      <c r="BT139" s="210"/>
      <c r="BU139" s="19">
        <f>+BV139-BT139</f>
        <v>0</v>
      </c>
      <c r="BV139" s="237"/>
    </row>
    <row r="140" spans="2:74" ht="12.75">
      <c r="B140" s="297" t="s">
        <v>501</v>
      </c>
      <c r="C140" s="158"/>
      <c r="D140" s="300">
        <f aca="true" t="shared" si="129" ref="D140:J140">+D138+D139</f>
        <v>798</v>
      </c>
      <c r="E140" s="254">
        <f t="shared" si="129"/>
        <v>752</v>
      </c>
      <c r="F140" s="301">
        <f t="shared" si="129"/>
        <v>1550</v>
      </c>
      <c r="G140" s="254">
        <f t="shared" si="129"/>
        <v>975</v>
      </c>
      <c r="H140" s="301">
        <f t="shared" si="129"/>
        <v>2525</v>
      </c>
      <c r="I140" s="254">
        <f t="shared" si="129"/>
        <v>1055</v>
      </c>
      <c r="J140" s="302">
        <f t="shared" si="129"/>
        <v>3580</v>
      </c>
      <c r="K140" s="158"/>
      <c r="L140" s="300">
        <f aca="true" t="shared" si="130" ref="L140:R140">+L138+L139</f>
        <v>1049</v>
      </c>
      <c r="M140" s="254">
        <f t="shared" si="130"/>
        <v>941</v>
      </c>
      <c r="N140" s="301">
        <f t="shared" si="130"/>
        <v>1990</v>
      </c>
      <c r="O140" s="254">
        <f t="shared" si="130"/>
        <v>1085</v>
      </c>
      <c r="P140" s="301">
        <f t="shared" si="130"/>
        <v>3075</v>
      </c>
      <c r="Q140" s="254">
        <f t="shared" si="130"/>
        <v>1086</v>
      </c>
      <c r="R140" s="302">
        <f t="shared" si="130"/>
        <v>4161</v>
      </c>
      <c r="S140" s="158"/>
      <c r="T140" s="300">
        <f aca="true" t="shared" si="131" ref="T140:Z140">+T138+T139</f>
        <v>1049</v>
      </c>
      <c r="U140" s="254">
        <f t="shared" si="131"/>
        <v>941</v>
      </c>
      <c r="V140" s="301">
        <f t="shared" si="131"/>
        <v>1990</v>
      </c>
      <c r="W140" s="254">
        <f t="shared" si="131"/>
        <v>1085</v>
      </c>
      <c r="X140" s="301">
        <f t="shared" si="131"/>
        <v>3075</v>
      </c>
      <c r="Y140" s="254">
        <f t="shared" si="131"/>
        <v>1086</v>
      </c>
      <c r="Z140" s="302">
        <f t="shared" si="131"/>
        <v>4161</v>
      </c>
      <c r="AA140" s="158"/>
      <c r="AB140" s="298">
        <f aca="true" t="shared" si="132" ref="AB140:AH140">+AB138+AB139</f>
        <v>1028</v>
      </c>
      <c r="AC140" s="254">
        <f t="shared" si="132"/>
        <v>1097</v>
      </c>
      <c r="AD140" s="299">
        <f t="shared" si="132"/>
        <v>2125</v>
      </c>
      <c r="AE140" s="254">
        <f t="shared" si="132"/>
        <v>1081</v>
      </c>
      <c r="AF140" s="301">
        <f t="shared" si="132"/>
        <v>3206</v>
      </c>
      <c r="AG140" s="254">
        <f t="shared" si="132"/>
        <v>1148</v>
      </c>
      <c r="AH140" s="302">
        <f t="shared" si="132"/>
        <v>4354</v>
      </c>
      <c r="AI140" s="158"/>
      <c r="AJ140" s="300">
        <f aca="true" t="shared" si="133" ref="AJ140:AP140">+AJ138+AJ139</f>
        <v>1147</v>
      </c>
      <c r="AK140" s="254">
        <f t="shared" si="133"/>
        <v>1078</v>
      </c>
      <c r="AL140" s="254">
        <f t="shared" si="133"/>
        <v>2225</v>
      </c>
      <c r="AM140" s="254">
        <f t="shared" si="133"/>
        <v>996</v>
      </c>
      <c r="AN140" s="254">
        <f t="shared" si="133"/>
        <v>3221</v>
      </c>
      <c r="AO140" s="254">
        <f t="shared" si="133"/>
        <v>922</v>
      </c>
      <c r="AP140" s="328">
        <f t="shared" si="133"/>
        <v>4143</v>
      </c>
      <c r="AQ140" s="158"/>
      <c r="AR140" s="329">
        <f>+AR138+AR139</f>
        <v>946</v>
      </c>
      <c r="AS140" s="254">
        <f aca="true" t="shared" si="134" ref="AS140:AX140">+AS138+AS139</f>
        <v>1150</v>
      </c>
      <c r="AT140" s="254">
        <f t="shared" si="134"/>
        <v>2096</v>
      </c>
      <c r="AU140" s="254">
        <f t="shared" si="134"/>
        <v>982</v>
      </c>
      <c r="AV140" s="254">
        <f t="shared" si="134"/>
        <v>3078</v>
      </c>
      <c r="AW140" s="254">
        <f t="shared" si="134"/>
        <v>923</v>
      </c>
      <c r="AX140" s="328">
        <f t="shared" si="134"/>
        <v>4001</v>
      </c>
      <c r="AY140" s="158"/>
      <c r="AZ140" s="329">
        <f>+AZ138+AZ139</f>
        <v>946</v>
      </c>
      <c r="BA140" s="254">
        <f aca="true" t="shared" si="135" ref="BA140:BF140">+BA138+BA139</f>
        <v>1150</v>
      </c>
      <c r="BB140" s="254">
        <f t="shared" si="135"/>
        <v>2096</v>
      </c>
      <c r="BC140" s="254">
        <f t="shared" si="135"/>
        <v>982</v>
      </c>
      <c r="BD140" s="254">
        <f t="shared" si="135"/>
        <v>3078</v>
      </c>
      <c r="BE140" s="254">
        <f>+BE138+BE139</f>
        <v>923</v>
      </c>
      <c r="BF140" s="328">
        <f t="shared" si="135"/>
        <v>4001</v>
      </c>
      <c r="BH140" s="329">
        <f>BH138+BH139</f>
        <v>1023</v>
      </c>
      <c r="BI140" s="254">
        <f>+BJ140-BH140</f>
        <v>1016</v>
      </c>
      <c r="BJ140" s="254">
        <f>+BJ138+BJ139</f>
        <v>2039</v>
      </c>
      <c r="BK140" s="254">
        <f>+BL140-BJ140</f>
        <v>984</v>
      </c>
      <c r="BL140" s="254">
        <f>+BL138+BL139</f>
        <v>3023</v>
      </c>
      <c r="BM140" s="254">
        <f>+BN140-BL140</f>
        <v>990</v>
      </c>
      <c r="BN140" s="328">
        <f>+BN138+BN139</f>
        <v>4013</v>
      </c>
      <c r="BP140" s="329">
        <f>BP138+BP139</f>
        <v>973</v>
      </c>
      <c r="BQ140" s="254">
        <f>+BR140-BP140</f>
        <v>-973</v>
      </c>
      <c r="BR140" s="254">
        <f>+BR138+BR139</f>
        <v>0</v>
      </c>
      <c r="BS140" s="254">
        <f>+BT140-BR140</f>
        <v>0</v>
      </c>
      <c r="BT140" s="254">
        <f>+BT138+BT139</f>
        <v>0</v>
      </c>
      <c r="BU140" s="254">
        <f>+BV140-BT140</f>
        <v>0</v>
      </c>
      <c r="BV140" s="328">
        <f>+BV138+BV139</f>
        <v>0</v>
      </c>
    </row>
    <row r="141" spans="4:51" ht="12.75">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c r="Z141" s="276"/>
      <c r="AA141" s="276"/>
      <c r="AB141" s="276"/>
      <c r="AC141" s="276"/>
      <c r="AD141" s="276"/>
      <c r="AE141" s="276"/>
      <c r="AF141" s="276"/>
      <c r="AG141" s="276"/>
      <c r="AH141" s="276"/>
      <c r="AI141" s="276"/>
      <c r="AJ141" s="276"/>
      <c r="AK141" s="276"/>
      <c r="AL141" s="276"/>
      <c r="AM141" s="276"/>
      <c r="AN141" s="276"/>
      <c r="AO141" s="276"/>
      <c r="AP141" s="276"/>
      <c r="AQ141" s="276"/>
      <c r="AY141" s="276"/>
    </row>
    <row r="142" spans="2:51" ht="12.75">
      <c r="B142" s="307" t="s">
        <v>356</v>
      </c>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5"/>
      <c r="AL142" s="275"/>
      <c r="AM142" s="275"/>
      <c r="AN142" s="275"/>
      <c r="AO142" s="275"/>
      <c r="AP142" s="275"/>
      <c r="AQ142" s="275"/>
      <c r="AY142" s="275"/>
    </row>
    <row r="143" ht="12.75">
      <c r="B143" s="308" t="s">
        <v>576</v>
      </c>
    </row>
    <row r="144" spans="2:51" ht="12.75">
      <c r="B144" s="309" t="s">
        <v>503</v>
      </c>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Y144" s="40"/>
    </row>
    <row r="145" ht="12.75">
      <c r="B145" s="310" t="s">
        <v>500</v>
      </c>
    </row>
    <row r="146" ht="12.75">
      <c r="B146" s="307" t="s">
        <v>690</v>
      </c>
    </row>
    <row r="147" spans="2:12" ht="12.75">
      <c r="B147" s="310" t="s">
        <v>691</v>
      </c>
      <c r="L147" s="40"/>
    </row>
    <row r="148" spans="2:12" ht="12.75">
      <c r="B148" s="450" t="s">
        <v>699</v>
      </c>
      <c r="L148" s="40"/>
    </row>
    <row r="149" spans="2:12" ht="12.75">
      <c r="B149" s="897" t="s">
        <v>703</v>
      </c>
      <c r="L149" s="40"/>
    </row>
    <row r="150" ht="12.75">
      <c r="L150" s="40"/>
    </row>
    <row r="151" ht="12.75">
      <c r="L151" s="40"/>
    </row>
    <row r="152" ht="12.75">
      <c r="L152" s="40"/>
    </row>
    <row r="153" ht="12.75">
      <c r="L153" s="40"/>
    </row>
    <row r="154" ht="12.75">
      <c r="L154" s="40"/>
    </row>
    <row r="155" ht="12.75">
      <c r="L155" s="40"/>
    </row>
    <row r="156" ht="12.75">
      <c r="L156" s="40"/>
    </row>
    <row r="157" ht="12.75">
      <c r="L157" s="40"/>
    </row>
    <row r="158" ht="12.75">
      <c r="L158" s="40"/>
    </row>
    <row r="159" ht="12.75">
      <c r="L159" s="40"/>
    </row>
    <row r="160" ht="12.75">
      <c r="L160" s="40"/>
    </row>
    <row r="161" ht="12.75">
      <c r="L161" s="40"/>
    </row>
    <row r="162" ht="12.75">
      <c r="L162" s="40"/>
    </row>
    <row r="163" ht="12.75">
      <c r="L163" s="40"/>
    </row>
    <row r="164" ht="12.75">
      <c r="L164" s="40"/>
    </row>
    <row r="165" ht="12.75">
      <c r="L165" s="40"/>
    </row>
    <row r="166" ht="12.75">
      <c r="L166" s="40"/>
    </row>
    <row r="167" ht="12.75">
      <c r="L167" s="40"/>
    </row>
    <row r="168" ht="12.75">
      <c r="L168" s="40"/>
    </row>
    <row r="169" ht="12.75">
      <c r="L169" s="40"/>
    </row>
    <row r="170" ht="12.75">
      <c r="L170" s="40"/>
    </row>
    <row r="171" ht="12.75">
      <c r="L171" s="40"/>
    </row>
    <row r="172" ht="12.75">
      <c r="L172" s="40"/>
    </row>
    <row r="173" ht="12.75">
      <c r="L173" s="40"/>
    </row>
    <row r="174" ht="12.75">
      <c r="L174" s="40"/>
    </row>
    <row r="175" ht="12.75">
      <c r="L175" s="40"/>
    </row>
    <row r="176" ht="12.75">
      <c r="L176" s="40"/>
    </row>
    <row r="177" ht="12.75">
      <c r="L177" s="40"/>
    </row>
    <row r="178" ht="12.75">
      <c r="L178" s="40"/>
    </row>
    <row r="179" ht="12.75">
      <c r="L179" s="40"/>
    </row>
    <row r="180" ht="12.75">
      <c r="L180" s="40"/>
    </row>
    <row r="181" ht="12.75">
      <c r="L181" s="40"/>
    </row>
    <row r="182" ht="12.75">
      <c r="L182" s="40"/>
    </row>
    <row r="183" ht="12.75">
      <c r="L183" s="40"/>
    </row>
    <row r="184" ht="12.75">
      <c r="L184" s="40"/>
    </row>
    <row r="185" ht="12.75">
      <c r="L185" s="40"/>
    </row>
    <row r="186" ht="12.75">
      <c r="L186" s="40"/>
    </row>
    <row r="187" ht="12.75">
      <c r="L187" s="40"/>
    </row>
    <row r="188" ht="12.75">
      <c r="L188" s="40"/>
    </row>
    <row r="189" ht="12.75">
      <c r="L189" s="40"/>
    </row>
    <row r="190" ht="12.75">
      <c r="L190" s="40"/>
    </row>
    <row r="191" ht="12.75">
      <c r="L191" s="40"/>
    </row>
    <row r="192" ht="12.75">
      <c r="L192" s="40"/>
    </row>
    <row r="193" ht="12.75">
      <c r="L193" s="40"/>
    </row>
    <row r="194" ht="12.75">
      <c r="L194" s="40"/>
    </row>
    <row r="195" ht="12.75">
      <c r="L195" s="40"/>
    </row>
    <row r="196" ht="12.75">
      <c r="L196" s="40"/>
    </row>
    <row r="197" ht="12.75">
      <c r="L197" s="40"/>
    </row>
    <row r="198" ht="12.75">
      <c r="L198" s="40"/>
    </row>
    <row r="199" ht="12.75">
      <c r="L199" s="40"/>
    </row>
    <row r="200" ht="12.75">
      <c r="L200" s="40"/>
    </row>
    <row r="201" ht="12.75">
      <c r="L201" s="40"/>
    </row>
    <row r="202" ht="12.75">
      <c r="L202" s="40"/>
    </row>
    <row r="203" ht="12.75">
      <c r="L203" s="40"/>
    </row>
    <row r="204" ht="12.75">
      <c r="L204" s="40"/>
    </row>
    <row r="205" ht="12.75">
      <c r="L205" s="40"/>
    </row>
    <row r="206" ht="12.75">
      <c r="L206" s="40"/>
    </row>
    <row r="207" ht="12.75">
      <c r="L207" s="40"/>
    </row>
    <row r="208" ht="12.75">
      <c r="L208" s="40"/>
    </row>
    <row r="209" ht="12.75">
      <c r="L209" s="40"/>
    </row>
    <row r="210" ht="12.75">
      <c r="L210" s="40"/>
    </row>
    <row r="211" ht="12.75">
      <c r="L211" s="40"/>
    </row>
    <row r="212" ht="12.75">
      <c r="L212" s="40"/>
    </row>
    <row r="213" ht="12.75">
      <c r="L213" s="40"/>
    </row>
    <row r="214" ht="12.75">
      <c r="L214" s="40"/>
    </row>
    <row r="215" ht="12.75">
      <c r="L215" s="40"/>
    </row>
    <row r="216" ht="12.75">
      <c r="L216" s="40"/>
    </row>
    <row r="217" ht="12.75">
      <c r="L217" s="40"/>
    </row>
    <row r="218" ht="12.75">
      <c r="L218" s="40"/>
    </row>
    <row r="219" ht="12.75">
      <c r="L219" s="40"/>
    </row>
    <row r="220" ht="12.75">
      <c r="L220" s="40"/>
    </row>
    <row r="221" ht="12.75">
      <c r="L221" s="40"/>
    </row>
    <row r="222" ht="12.75">
      <c r="L222" s="40"/>
    </row>
    <row r="223" ht="12.75">
      <c r="L223" s="40"/>
    </row>
    <row r="224" ht="12.75">
      <c r="L224" s="40"/>
    </row>
    <row r="225" ht="12.75">
      <c r="L225" s="40"/>
    </row>
    <row r="226" ht="12.75">
      <c r="L226" s="40"/>
    </row>
    <row r="227" ht="12.75">
      <c r="L227" s="40"/>
    </row>
    <row r="228" ht="12.75">
      <c r="L228" s="40"/>
    </row>
    <row r="229" ht="12.75">
      <c r="L229" s="40"/>
    </row>
    <row r="230" ht="12.75">
      <c r="L230" s="40"/>
    </row>
    <row r="231" ht="12.75">
      <c r="L231" s="40"/>
    </row>
    <row r="232" ht="12.75">
      <c r="L232" s="40"/>
    </row>
    <row r="233" ht="12.75">
      <c r="L233" s="40"/>
    </row>
    <row r="234" ht="12.75">
      <c r="L234" s="40"/>
    </row>
    <row r="235" ht="12.75">
      <c r="L235" s="40"/>
    </row>
    <row r="236" ht="12.75">
      <c r="L236" s="40"/>
    </row>
    <row r="237" ht="12.75">
      <c r="L237" s="40"/>
    </row>
    <row r="238" ht="12.75">
      <c r="L238" s="40"/>
    </row>
    <row r="239" ht="12.75">
      <c r="L239" s="40"/>
    </row>
    <row r="240" ht="12.75">
      <c r="L240" s="40"/>
    </row>
    <row r="241" ht="12.75">
      <c r="L241" s="40"/>
    </row>
    <row r="242" ht="12.75">
      <c r="L242" s="40"/>
    </row>
    <row r="243" ht="12.75">
      <c r="L243" s="40"/>
    </row>
    <row r="244" ht="12.75">
      <c r="L244" s="40"/>
    </row>
    <row r="245" ht="12.75">
      <c r="L245" s="40"/>
    </row>
    <row r="246" ht="12.75">
      <c r="L246" s="40"/>
    </row>
    <row r="247" ht="12.75">
      <c r="L247" s="40"/>
    </row>
    <row r="248" ht="12.75">
      <c r="L248" s="40"/>
    </row>
    <row r="249" ht="12.75">
      <c r="L249" s="40"/>
    </row>
    <row r="250" ht="12.75">
      <c r="L250" s="40"/>
    </row>
    <row r="251" ht="12.75">
      <c r="L251" s="40"/>
    </row>
    <row r="252" ht="12.75">
      <c r="L252" s="40"/>
    </row>
    <row r="253" ht="12.75">
      <c r="L253" s="40"/>
    </row>
    <row r="254" ht="12.75">
      <c r="L254" s="40"/>
    </row>
    <row r="255" ht="12.75">
      <c r="L255" s="40"/>
    </row>
    <row r="256" ht="12.75">
      <c r="L256" s="40"/>
    </row>
    <row r="257" ht="12.75">
      <c r="L257" s="40"/>
    </row>
    <row r="258" ht="12.75">
      <c r="L258" s="40"/>
    </row>
    <row r="259" ht="12.75">
      <c r="L259" s="40"/>
    </row>
    <row r="260" ht="12.75">
      <c r="L260" s="40"/>
    </row>
    <row r="261" ht="12.75">
      <c r="L261" s="40"/>
    </row>
    <row r="262" ht="12.75">
      <c r="L262" s="40"/>
    </row>
    <row r="263" ht="12.75">
      <c r="L263" s="40"/>
    </row>
    <row r="264" ht="12.75">
      <c r="L264" s="40"/>
    </row>
    <row r="265" ht="12.75">
      <c r="L265" s="40"/>
    </row>
    <row r="266" ht="12.75">
      <c r="L266" s="40"/>
    </row>
    <row r="267" ht="12.75">
      <c r="L267" s="40"/>
    </row>
    <row r="268" ht="12.75">
      <c r="L268" s="40"/>
    </row>
    <row r="269" ht="12.75">
      <c r="L269" s="40"/>
    </row>
    <row r="270" ht="12.75">
      <c r="L270" s="40"/>
    </row>
    <row r="271" ht="12.75">
      <c r="L271" s="40"/>
    </row>
    <row r="272" ht="12.75">
      <c r="L272" s="40"/>
    </row>
    <row r="273" ht="12.75">
      <c r="L273" s="40"/>
    </row>
    <row r="274" ht="12.75">
      <c r="L274" s="40"/>
    </row>
    <row r="275" ht="12.75">
      <c r="L275" s="40"/>
    </row>
    <row r="276" ht="12.75">
      <c r="L276" s="40"/>
    </row>
    <row r="277" ht="12.75">
      <c r="L277" s="40"/>
    </row>
    <row r="278" ht="12.75">
      <c r="L278" s="40"/>
    </row>
    <row r="279" ht="12.75">
      <c r="L279" s="40"/>
    </row>
    <row r="280" ht="12.75">
      <c r="L280" s="40"/>
    </row>
    <row r="281" ht="12.75">
      <c r="L281" s="40"/>
    </row>
    <row r="282" ht="12.75">
      <c r="L282" s="40"/>
    </row>
    <row r="283" ht="12.75">
      <c r="L283" s="40"/>
    </row>
    <row r="284" ht="12.75">
      <c r="L284" s="40"/>
    </row>
    <row r="285" ht="12.75">
      <c r="L285" s="40"/>
    </row>
    <row r="286" ht="12.75">
      <c r="L286" s="40"/>
    </row>
    <row r="287" ht="12.75">
      <c r="L287" s="40"/>
    </row>
    <row r="288" ht="12.75">
      <c r="L288" s="40"/>
    </row>
    <row r="289" ht="12.75">
      <c r="L289" s="40"/>
    </row>
    <row r="290" ht="12.75">
      <c r="L290" s="40"/>
    </row>
    <row r="291" ht="12.75">
      <c r="L291" s="40"/>
    </row>
    <row r="292" ht="12.75">
      <c r="L292" s="40"/>
    </row>
    <row r="293" ht="12.75">
      <c r="L293" s="40"/>
    </row>
    <row r="294" ht="12.75">
      <c r="L294" s="40"/>
    </row>
    <row r="295" ht="12.75">
      <c r="L295" s="40"/>
    </row>
    <row r="296" ht="12.75">
      <c r="L296" s="40"/>
    </row>
    <row r="297" ht="12.75">
      <c r="L297" s="40"/>
    </row>
    <row r="298" ht="12.75">
      <c r="L298" s="40"/>
    </row>
    <row r="299" ht="12.75">
      <c r="L299" s="40"/>
    </row>
    <row r="300" ht="12.75">
      <c r="L300" s="40"/>
    </row>
    <row r="301" ht="12.75">
      <c r="L301" s="40"/>
    </row>
    <row r="302" ht="12.75">
      <c r="L302" s="40"/>
    </row>
    <row r="303" ht="12.75">
      <c r="L303" s="40"/>
    </row>
    <row r="304" ht="12.75">
      <c r="L304" s="40"/>
    </row>
    <row r="305" ht="12.75">
      <c r="L305" s="40"/>
    </row>
    <row r="306" ht="12.75">
      <c r="L306" s="40"/>
    </row>
    <row r="307" ht="12.75">
      <c r="L307" s="40"/>
    </row>
    <row r="308" ht="12.75">
      <c r="L308" s="40"/>
    </row>
    <row r="309" ht="12.75">
      <c r="L309" s="40"/>
    </row>
    <row r="310" ht="12.75">
      <c r="L310" s="40"/>
    </row>
    <row r="311" ht="12.75">
      <c r="L311" s="40"/>
    </row>
    <row r="312" ht="12.75">
      <c r="L312" s="40"/>
    </row>
    <row r="313" ht="12.75">
      <c r="L313" s="40"/>
    </row>
    <row r="314" ht="12.75">
      <c r="L314" s="40"/>
    </row>
    <row r="315" ht="12.75">
      <c r="L315" s="40"/>
    </row>
    <row r="316" ht="12.75">
      <c r="L316" s="40"/>
    </row>
    <row r="317" ht="12.75">
      <c r="L317" s="40"/>
    </row>
    <row r="318" ht="12.75">
      <c r="L318" s="40"/>
    </row>
    <row r="319" ht="12.75">
      <c r="L319" s="40"/>
    </row>
    <row r="320" ht="12.75">
      <c r="L320" s="40"/>
    </row>
    <row r="321" ht="12.75">
      <c r="L321" s="40"/>
    </row>
    <row r="322" ht="12.75">
      <c r="L322" s="40"/>
    </row>
    <row r="323" ht="12.75">
      <c r="L323" s="40"/>
    </row>
    <row r="324" ht="12.75">
      <c r="L324" s="40"/>
    </row>
    <row r="325" ht="12.75">
      <c r="L325" s="40"/>
    </row>
    <row r="326" ht="12.75">
      <c r="L326" s="40"/>
    </row>
    <row r="327" ht="12.75">
      <c r="L327" s="40"/>
    </row>
    <row r="328" ht="12.75">
      <c r="L328" s="40"/>
    </row>
    <row r="329" ht="12.75">
      <c r="L329" s="40"/>
    </row>
    <row r="330" ht="12.75">
      <c r="L330" s="40"/>
    </row>
    <row r="331" ht="12.75">
      <c r="L331" s="40"/>
    </row>
    <row r="332" ht="12.75">
      <c r="L332" s="40"/>
    </row>
    <row r="333" ht="12.75">
      <c r="L333" s="40"/>
    </row>
    <row r="334" ht="12.75">
      <c r="L334" s="40"/>
    </row>
    <row r="335" ht="12.75">
      <c r="L335" s="40"/>
    </row>
    <row r="336" ht="12.75">
      <c r="L336" s="40"/>
    </row>
    <row r="337" ht="12.75">
      <c r="L337" s="40"/>
    </row>
    <row r="338" ht="12.75">
      <c r="L338" s="40"/>
    </row>
    <row r="339" ht="12.75">
      <c r="L339" s="40"/>
    </row>
    <row r="340" ht="12.75">
      <c r="L340" s="40"/>
    </row>
    <row r="341" ht="12.75">
      <c r="L341" s="40"/>
    </row>
    <row r="342" ht="12.75">
      <c r="L342" s="40"/>
    </row>
    <row r="343" ht="12.75">
      <c r="L343" s="40"/>
    </row>
    <row r="344" ht="12.75">
      <c r="L344" s="40"/>
    </row>
    <row r="345" ht="12.75">
      <c r="L345" s="40"/>
    </row>
    <row r="346" ht="12.75">
      <c r="L346" s="40"/>
    </row>
    <row r="347" ht="12.75">
      <c r="L347" s="40"/>
    </row>
    <row r="348" ht="12.75">
      <c r="L348" s="40"/>
    </row>
    <row r="349" ht="12.75">
      <c r="L349" s="40"/>
    </row>
    <row r="350" ht="12.75">
      <c r="L350" s="40"/>
    </row>
    <row r="351" ht="12.75">
      <c r="L351" s="40"/>
    </row>
    <row r="352" ht="12.75">
      <c r="L352" s="40"/>
    </row>
    <row r="353" ht="12.75">
      <c r="L353" s="40"/>
    </row>
    <row r="354" ht="12.75">
      <c r="L354" s="40"/>
    </row>
    <row r="355" ht="12.75">
      <c r="L355" s="40"/>
    </row>
    <row r="356" ht="12.75">
      <c r="L356" s="40"/>
    </row>
    <row r="357" ht="12.75">
      <c r="L357" s="40"/>
    </row>
    <row r="358" ht="12.75">
      <c r="L358" s="40"/>
    </row>
    <row r="359" ht="12.75">
      <c r="L359" s="40"/>
    </row>
    <row r="360" ht="12.75">
      <c r="L360" s="40"/>
    </row>
    <row r="361" ht="12.75">
      <c r="L361" s="40"/>
    </row>
    <row r="362" ht="12.75">
      <c r="L362" s="40"/>
    </row>
    <row r="363" ht="12.75">
      <c r="L363" s="40"/>
    </row>
    <row r="364" ht="12.75">
      <c r="L364" s="40"/>
    </row>
    <row r="365" ht="12.75">
      <c r="L365" s="40"/>
    </row>
    <row r="366" ht="12.75">
      <c r="L366" s="40"/>
    </row>
    <row r="367" ht="12.75">
      <c r="L367" s="40"/>
    </row>
    <row r="368" ht="12.75">
      <c r="L368" s="40"/>
    </row>
    <row r="369" ht="12.75">
      <c r="L369" s="40"/>
    </row>
    <row r="370" ht="12.75">
      <c r="L370" s="40"/>
    </row>
    <row r="371" ht="12.75">
      <c r="L371" s="40"/>
    </row>
    <row r="372" ht="12.75">
      <c r="L372" s="40"/>
    </row>
    <row r="373" ht="12.75">
      <c r="L373" s="40"/>
    </row>
    <row r="374" ht="12.75">
      <c r="L374" s="40"/>
    </row>
    <row r="375" ht="12.75">
      <c r="L375" s="40"/>
    </row>
    <row r="376" ht="12.75">
      <c r="L376" s="40"/>
    </row>
    <row r="377" ht="12.75">
      <c r="L377" s="40"/>
    </row>
    <row r="378" ht="12.75">
      <c r="L378" s="40"/>
    </row>
    <row r="379" ht="12.75">
      <c r="L379" s="40"/>
    </row>
    <row r="380" ht="12.75">
      <c r="L380" s="40"/>
    </row>
    <row r="381" ht="12.75">
      <c r="L381" s="40"/>
    </row>
    <row r="382" ht="12.75">
      <c r="L382" s="40"/>
    </row>
    <row r="383" ht="12.75">
      <c r="L383" s="40"/>
    </row>
    <row r="384" ht="12.75">
      <c r="L384" s="40"/>
    </row>
    <row r="385" ht="12.75">
      <c r="L385" s="40"/>
    </row>
    <row r="386" ht="12.75">
      <c r="L386" s="40"/>
    </row>
    <row r="387" ht="12.75">
      <c r="L387" s="40"/>
    </row>
    <row r="388" ht="12.75">
      <c r="L388" s="40"/>
    </row>
    <row r="389" ht="12.75">
      <c r="L389" s="40"/>
    </row>
    <row r="390" ht="12.75">
      <c r="L390" s="40"/>
    </row>
    <row r="391" ht="12.75">
      <c r="L391" s="40"/>
    </row>
    <row r="392" ht="12.75">
      <c r="L392" s="40"/>
    </row>
    <row r="393" ht="12.75">
      <c r="L393" s="40"/>
    </row>
    <row r="394" ht="12.75">
      <c r="L394" s="40"/>
    </row>
    <row r="395" ht="12.75">
      <c r="L395" s="40"/>
    </row>
    <row r="396" ht="12.75">
      <c r="L396" s="40"/>
    </row>
    <row r="397" ht="12.75">
      <c r="L397" s="40"/>
    </row>
    <row r="398" ht="12.75">
      <c r="L398" s="40"/>
    </row>
    <row r="399" ht="12.75">
      <c r="L399" s="40"/>
    </row>
    <row r="400" ht="12.75">
      <c r="L400" s="40"/>
    </row>
    <row r="401" ht="12.75">
      <c r="L401" s="40"/>
    </row>
    <row r="402" ht="12.75">
      <c r="L402" s="40"/>
    </row>
    <row r="403" ht="12.75">
      <c r="L403" s="40"/>
    </row>
    <row r="404" ht="12.75">
      <c r="L404" s="40"/>
    </row>
    <row r="405" ht="12.75">
      <c r="L405" s="40"/>
    </row>
    <row r="406" ht="12.75">
      <c r="L406" s="40"/>
    </row>
    <row r="407" ht="12.75">
      <c r="L407" s="40"/>
    </row>
    <row r="408" ht="12.75">
      <c r="L408" s="40"/>
    </row>
    <row r="409" ht="12.75">
      <c r="L409" s="40"/>
    </row>
    <row r="410" ht="12.75">
      <c r="L410" s="40"/>
    </row>
    <row r="411" ht="12.75">
      <c r="L411" s="40"/>
    </row>
    <row r="412" ht="12.75">
      <c r="L412" s="40"/>
    </row>
    <row r="413" ht="12.75">
      <c r="L413" s="40"/>
    </row>
    <row r="414" ht="12.75">
      <c r="L414" s="40"/>
    </row>
    <row r="415" ht="12.75">
      <c r="L415" s="40"/>
    </row>
    <row r="416" ht="12.75">
      <c r="L416" s="40"/>
    </row>
    <row r="417" ht="12.75">
      <c r="L417" s="40"/>
    </row>
    <row r="418" ht="12.75">
      <c r="L418" s="40"/>
    </row>
    <row r="419" ht="12.75">
      <c r="L419" s="40"/>
    </row>
    <row r="420" ht="12.75">
      <c r="L420" s="40"/>
    </row>
    <row r="421" ht="12.75">
      <c r="L421" s="40"/>
    </row>
    <row r="422" ht="12.75">
      <c r="L422" s="40"/>
    </row>
    <row r="423" ht="12.75">
      <c r="L423" s="40"/>
    </row>
    <row r="424" ht="12.75">
      <c r="L424" s="40"/>
    </row>
    <row r="425" ht="12.75">
      <c r="L425" s="40"/>
    </row>
    <row r="426" ht="12.75">
      <c r="L426" s="40"/>
    </row>
    <row r="427" ht="12.75">
      <c r="L427" s="40"/>
    </row>
    <row r="428" ht="12.75">
      <c r="L428" s="40"/>
    </row>
    <row r="429" ht="12.75">
      <c r="L429" s="40"/>
    </row>
    <row r="430" ht="12.75">
      <c r="L430" s="40"/>
    </row>
    <row r="431" ht="12.75">
      <c r="L431" s="40"/>
    </row>
    <row r="432" ht="12.75">
      <c r="L432" s="40"/>
    </row>
    <row r="433" ht="12.75">
      <c r="L433" s="40"/>
    </row>
    <row r="434" ht="12.75">
      <c r="L434" s="40"/>
    </row>
    <row r="435" ht="12.75">
      <c r="L435" s="40"/>
    </row>
    <row r="436" ht="12.75">
      <c r="L436" s="40"/>
    </row>
    <row r="437" ht="12.75">
      <c r="L437" s="40"/>
    </row>
    <row r="438" ht="12.75">
      <c r="L438" s="40"/>
    </row>
    <row r="439" ht="12.75">
      <c r="L439" s="40"/>
    </row>
    <row r="440" ht="12.75">
      <c r="L440" s="40"/>
    </row>
    <row r="441" ht="12.75">
      <c r="L441" s="40"/>
    </row>
    <row r="442" ht="12.75">
      <c r="L442" s="40"/>
    </row>
    <row r="443" ht="12.75">
      <c r="L443" s="40"/>
    </row>
    <row r="444" ht="12.75">
      <c r="L444" s="40"/>
    </row>
    <row r="445" ht="12.75">
      <c r="L445" s="40"/>
    </row>
    <row r="446" ht="12.75">
      <c r="L446" s="40"/>
    </row>
    <row r="447" ht="12.75">
      <c r="L447" s="40"/>
    </row>
    <row r="448" ht="12.75">
      <c r="L448" s="40"/>
    </row>
    <row r="449" ht="12.75">
      <c r="L449" s="40"/>
    </row>
    <row r="450" ht="12.75">
      <c r="L450" s="40"/>
    </row>
    <row r="451" ht="12.75">
      <c r="L451" s="40"/>
    </row>
    <row r="452" ht="12.75">
      <c r="L452" s="40"/>
    </row>
    <row r="453" ht="12.75">
      <c r="L453" s="40"/>
    </row>
    <row r="454" ht="12.75">
      <c r="L454" s="40"/>
    </row>
    <row r="455" ht="12.75">
      <c r="L455" s="40"/>
    </row>
    <row r="456" ht="12.75">
      <c r="L456" s="40"/>
    </row>
    <row r="457" ht="12.75">
      <c r="L457" s="40"/>
    </row>
    <row r="458" ht="12.75">
      <c r="L458" s="40"/>
    </row>
    <row r="459" ht="12.75">
      <c r="L459" s="40"/>
    </row>
    <row r="460" ht="12.75">
      <c r="L460" s="40"/>
    </row>
    <row r="461" ht="12.75">
      <c r="L461" s="40"/>
    </row>
    <row r="462" ht="12.75">
      <c r="L462" s="40"/>
    </row>
    <row r="463" ht="12.75">
      <c r="L463" s="40"/>
    </row>
    <row r="464" ht="12.75">
      <c r="L464" s="40"/>
    </row>
    <row r="465" ht="12.75">
      <c r="L465" s="40"/>
    </row>
    <row r="466" ht="12.75">
      <c r="L466" s="40"/>
    </row>
    <row r="467" ht="12.75">
      <c r="L467" s="40"/>
    </row>
    <row r="468" ht="12.75">
      <c r="L468" s="40"/>
    </row>
    <row r="469" ht="12.75">
      <c r="L469" s="40"/>
    </row>
    <row r="470" ht="12.75">
      <c r="L470" s="40"/>
    </row>
    <row r="471" ht="12.75">
      <c r="L471" s="40"/>
    </row>
    <row r="472" ht="12.75">
      <c r="L472" s="40"/>
    </row>
    <row r="473" ht="12.75">
      <c r="L473" s="40"/>
    </row>
    <row r="474" ht="12.75">
      <c r="L474" s="40"/>
    </row>
    <row r="475" ht="12.75">
      <c r="L475" s="40"/>
    </row>
    <row r="476" ht="12.75">
      <c r="L476" s="40"/>
    </row>
    <row r="477" ht="12.75">
      <c r="L477" s="40"/>
    </row>
    <row r="478" ht="12.75">
      <c r="L478" s="40"/>
    </row>
    <row r="479" ht="12.75">
      <c r="L479" s="40"/>
    </row>
    <row r="480" ht="12.75">
      <c r="L480" s="40"/>
    </row>
    <row r="481" ht="12.75">
      <c r="L481" s="40"/>
    </row>
    <row r="482" ht="12.75">
      <c r="L482" s="40"/>
    </row>
    <row r="483" ht="12.75">
      <c r="L483" s="40"/>
    </row>
    <row r="484" ht="12.75">
      <c r="L484" s="40"/>
    </row>
    <row r="485" ht="12.75">
      <c r="L485" s="40"/>
    </row>
    <row r="486" ht="12.75">
      <c r="L486" s="40"/>
    </row>
    <row r="487" ht="12.75">
      <c r="L487" s="40"/>
    </row>
    <row r="488" ht="12.75">
      <c r="L488" s="40"/>
    </row>
    <row r="489" ht="12.75">
      <c r="L489" s="40"/>
    </row>
    <row r="490" ht="12.75">
      <c r="L490" s="40"/>
    </row>
    <row r="491" ht="12.75">
      <c r="L491" s="40"/>
    </row>
    <row r="492" ht="12.75">
      <c r="L492" s="40"/>
    </row>
    <row r="493" ht="12.75">
      <c r="L493" s="40"/>
    </row>
    <row r="494" ht="12.75">
      <c r="L494" s="40"/>
    </row>
    <row r="495" ht="12.75">
      <c r="L495" s="40"/>
    </row>
    <row r="496" ht="12.75">
      <c r="L496" s="40"/>
    </row>
    <row r="497" ht="12.75">
      <c r="L497" s="40"/>
    </row>
    <row r="498" ht="12.75">
      <c r="L498" s="40"/>
    </row>
    <row r="499" ht="12.75">
      <c r="L499" s="40"/>
    </row>
    <row r="500" ht="12.75">
      <c r="L500" s="40"/>
    </row>
    <row r="501" ht="12.75">
      <c r="L501" s="40"/>
    </row>
    <row r="502" ht="12.75">
      <c r="L502" s="40"/>
    </row>
    <row r="503" ht="12.75">
      <c r="L503" s="40"/>
    </row>
    <row r="504" ht="12.75">
      <c r="L504" s="40"/>
    </row>
    <row r="505" ht="12.75">
      <c r="L505" s="40"/>
    </row>
    <row r="506" ht="12.75">
      <c r="L506" s="40"/>
    </row>
    <row r="507" ht="12.75">
      <c r="L507" s="40"/>
    </row>
    <row r="508" ht="12.75">
      <c r="L508" s="40"/>
    </row>
    <row r="509" ht="12.75">
      <c r="L509" s="40"/>
    </row>
    <row r="510" ht="12.75">
      <c r="L510" s="40"/>
    </row>
    <row r="511" ht="12.75">
      <c r="L511" s="40"/>
    </row>
  </sheetData>
  <sheetProtection/>
  <mergeCells count="4">
    <mergeCell ref="T3:Z3"/>
    <mergeCell ref="D3:J3"/>
    <mergeCell ref="AZ3:BF3"/>
    <mergeCell ref="BH3:BN3"/>
  </mergeCells>
  <printOptions horizontalCentered="1" verticalCentered="1"/>
  <pageMargins left="0.35433070866141736" right="1.299212598425197" top="0.6692913385826772" bottom="0.984251968503937" header="0.5118110236220472" footer="0.5118110236220472"/>
  <pageSetup fitToHeight="2" horizontalDpi="600" verticalDpi="600" orientation="landscape" paperSize="9" scale="45" r:id="rId1"/>
  <rowBreaks count="1" manualBreakCount="1">
    <brk id="77" max="65" man="1"/>
  </rowBreaks>
  <colBreaks count="2" manualBreakCount="2">
    <brk id="10" max="131" man="1"/>
    <brk id="34" max="131" man="1"/>
  </colBreaks>
</worksheet>
</file>

<file path=xl/worksheets/sheet6.xml><?xml version="1.0" encoding="utf-8"?>
<worksheet xmlns="http://schemas.openxmlformats.org/spreadsheetml/2006/main" xmlns:r="http://schemas.openxmlformats.org/officeDocument/2006/relationships">
  <dimension ref="A1:M61"/>
  <sheetViews>
    <sheetView zoomScalePageLayoutView="0" workbookViewId="0" topLeftCell="A1">
      <selection activeCell="F43" sqref="F43"/>
    </sheetView>
  </sheetViews>
  <sheetFormatPr defaultColWidth="9.140625" defaultRowHeight="12.75"/>
  <cols>
    <col min="1" max="1" width="5.421875" style="506" customWidth="1"/>
    <col min="2" max="2" width="29.57421875" style="506" customWidth="1"/>
    <col min="3" max="3" width="14.57421875" style="506" customWidth="1"/>
    <col min="4" max="4" width="23.421875" style="506" bestFit="1" customWidth="1"/>
    <col min="5" max="5" width="22.57421875" style="506" bestFit="1" customWidth="1"/>
    <col min="6" max="6" width="16.8515625" style="506" customWidth="1"/>
    <col min="7" max="7" width="11.8515625" style="506" customWidth="1"/>
    <col min="8" max="8" width="16.8515625" style="584" bestFit="1" customWidth="1"/>
    <col min="9" max="9" width="14.8515625" style="585" customWidth="1"/>
    <col min="10" max="10" width="14.28125" style="585" customWidth="1"/>
    <col min="11" max="11" width="16.00390625" style="506" customWidth="1"/>
    <col min="12" max="12" width="15.57421875" style="506" bestFit="1" customWidth="1"/>
    <col min="13" max="13" width="17.00390625" style="506" customWidth="1"/>
    <col min="14" max="16384" width="9.140625" style="506" customWidth="1"/>
  </cols>
  <sheetData>
    <row r="1" spans="1:13" ht="15">
      <c r="A1" s="503"/>
      <c r="B1" s="503"/>
      <c r="C1" s="503"/>
      <c r="D1" s="503"/>
      <c r="E1" s="503"/>
      <c r="F1" s="503"/>
      <c r="G1" s="503"/>
      <c r="H1" s="503"/>
      <c r="I1" s="504"/>
      <c r="J1" s="504"/>
      <c r="K1" s="505"/>
      <c r="L1" s="505"/>
      <c r="M1" s="503"/>
    </row>
    <row r="2" spans="1:13" s="511" customFormat="1" ht="15.75">
      <c r="A2" s="507" t="s">
        <v>591</v>
      </c>
      <c r="B2" s="508"/>
      <c r="C2" s="509"/>
      <c r="D2" s="509"/>
      <c r="E2" s="509"/>
      <c r="F2" s="510"/>
      <c r="G2" s="509"/>
      <c r="H2" s="509"/>
      <c r="I2" s="510"/>
      <c r="J2" s="510"/>
      <c r="K2" s="510"/>
      <c r="L2" s="510"/>
      <c r="M2" s="508"/>
    </row>
    <row r="3" spans="1:13" ht="14.25">
      <c r="A3" s="503"/>
      <c r="B3" s="512"/>
      <c r="C3" s="512"/>
      <c r="D3" s="512"/>
      <c r="E3" s="512"/>
      <c r="F3" s="513"/>
      <c r="G3" s="512"/>
      <c r="H3" s="512"/>
      <c r="I3" s="513"/>
      <c r="J3" s="513"/>
      <c r="K3" s="513"/>
      <c r="L3" s="513"/>
      <c r="M3" s="503"/>
    </row>
    <row r="4" spans="1:13" ht="15.75" thickBot="1">
      <c r="A4" s="503"/>
      <c r="B4" s="512"/>
      <c r="C4" s="512"/>
      <c r="D4" s="512"/>
      <c r="E4" s="503"/>
      <c r="F4" s="503"/>
      <c r="G4" s="503"/>
      <c r="H4" s="503"/>
      <c r="I4" s="514"/>
      <c r="J4" s="513"/>
      <c r="K4" s="505"/>
      <c r="L4" s="505"/>
      <c r="M4" s="503"/>
    </row>
    <row r="5" spans="1:13" s="520" customFormat="1" ht="60.75" thickBot="1">
      <c r="A5" s="515" t="s">
        <v>344</v>
      </c>
      <c r="B5" s="516" t="s">
        <v>4</v>
      </c>
      <c r="C5" s="516" t="s">
        <v>42</v>
      </c>
      <c r="D5" s="516" t="s">
        <v>5</v>
      </c>
      <c r="E5" s="516" t="s">
        <v>43</v>
      </c>
      <c r="F5" s="516" t="s">
        <v>18</v>
      </c>
      <c r="G5" s="516" t="s">
        <v>44</v>
      </c>
      <c r="H5" s="516" t="s">
        <v>45</v>
      </c>
      <c r="I5" s="516" t="s">
        <v>592</v>
      </c>
      <c r="J5" s="517" t="s">
        <v>286</v>
      </c>
      <c r="K5" s="518" t="s">
        <v>588</v>
      </c>
      <c r="L5" s="519" t="s">
        <v>288</v>
      </c>
      <c r="M5" s="519" t="s">
        <v>593</v>
      </c>
    </row>
    <row r="6" spans="1:13" ht="15">
      <c r="A6" s="521"/>
      <c r="B6" s="522"/>
      <c r="C6" s="523"/>
      <c r="D6" s="524"/>
      <c r="E6" s="523"/>
      <c r="F6" s="523"/>
      <c r="G6" s="523"/>
      <c r="H6" s="523"/>
      <c r="I6" s="524"/>
      <c r="J6" s="525"/>
      <c r="K6" s="526"/>
      <c r="L6" s="527"/>
      <c r="M6" s="527"/>
    </row>
    <row r="7" spans="1:13" ht="15">
      <c r="A7" s="528">
        <v>1</v>
      </c>
      <c r="B7" s="506" t="s">
        <v>9</v>
      </c>
      <c r="C7" s="529" t="s">
        <v>51</v>
      </c>
      <c r="D7" s="529">
        <v>1998</v>
      </c>
      <c r="E7" s="530" t="s">
        <v>55</v>
      </c>
      <c r="F7" s="529" t="s">
        <v>23</v>
      </c>
      <c r="G7" s="529" t="s">
        <v>48</v>
      </c>
      <c r="H7" s="529" t="s">
        <v>49</v>
      </c>
      <c r="I7" s="531">
        <v>49.92</v>
      </c>
      <c r="J7" s="532">
        <v>65</v>
      </c>
      <c r="K7" s="898">
        <v>49.92</v>
      </c>
      <c r="L7" s="533" t="s">
        <v>289</v>
      </c>
      <c r="M7" s="533" t="s">
        <v>594</v>
      </c>
    </row>
    <row r="8" spans="1:13" ht="15">
      <c r="A8" s="528">
        <v>1</v>
      </c>
      <c r="B8" s="506" t="s">
        <v>10</v>
      </c>
      <c r="C8" s="529" t="s">
        <v>57</v>
      </c>
      <c r="D8" s="529">
        <v>2002</v>
      </c>
      <c r="E8" s="530" t="s">
        <v>58</v>
      </c>
      <c r="F8" s="529" t="s">
        <v>23</v>
      </c>
      <c r="G8" s="529" t="s">
        <v>48</v>
      </c>
      <c r="H8" s="529" t="s">
        <v>49</v>
      </c>
      <c r="I8" s="531">
        <v>145.04</v>
      </c>
      <c r="J8" s="532">
        <v>70</v>
      </c>
      <c r="K8" s="898">
        <v>145.04</v>
      </c>
      <c r="L8" s="533" t="s">
        <v>289</v>
      </c>
      <c r="M8" s="533" t="s">
        <v>594</v>
      </c>
    </row>
    <row r="9" spans="1:13" ht="15">
      <c r="A9" s="528">
        <v>1</v>
      </c>
      <c r="B9" s="506" t="s">
        <v>8</v>
      </c>
      <c r="C9" s="529" t="s">
        <v>53</v>
      </c>
      <c r="D9" s="529">
        <v>1996</v>
      </c>
      <c r="E9" s="530" t="s">
        <v>47</v>
      </c>
      <c r="F9" s="529" t="s">
        <v>23</v>
      </c>
      <c r="G9" s="529" t="s">
        <v>48</v>
      </c>
      <c r="H9" s="529" t="s">
        <v>49</v>
      </c>
      <c r="I9" s="531">
        <v>132.479</v>
      </c>
      <c r="J9" s="532">
        <v>100</v>
      </c>
      <c r="K9" s="550">
        <f>I9*J9%</f>
        <v>132.479</v>
      </c>
      <c r="L9" s="533" t="s">
        <v>289</v>
      </c>
      <c r="M9" s="533" t="s">
        <v>594</v>
      </c>
    </row>
    <row r="10" spans="1:13" ht="15">
      <c r="A10" s="528">
        <v>1</v>
      </c>
      <c r="B10" s="506" t="s">
        <v>3</v>
      </c>
      <c r="C10" s="529" t="s">
        <v>50</v>
      </c>
      <c r="D10" s="529">
        <v>1996</v>
      </c>
      <c r="E10" s="530" t="s">
        <v>47</v>
      </c>
      <c r="F10" s="529" t="s">
        <v>23</v>
      </c>
      <c r="G10" s="529" t="s">
        <v>48</v>
      </c>
      <c r="H10" s="529" t="s">
        <v>49</v>
      </c>
      <c r="I10" s="531">
        <v>136.77</v>
      </c>
      <c r="J10" s="532">
        <v>100</v>
      </c>
      <c r="K10" s="550">
        <f>I10*J10%</f>
        <v>136.77</v>
      </c>
      <c r="L10" s="533" t="s">
        <v>289</v>
      </c>
      <c r="M10" s="533" t="s">
        <v>594</v>
      </c>
    </row>
    <row r="11" spans="1:13" ht="15">
      <c r="A11" s="528">
        <v>1</v>
      </c>
      <c r="B11" s="506" t="s">
        <v>7</v>
      </c>
      <c r="C11" s="529" t="s">
        <v>52</v>
      </c>
      <c r="D11" s="535" t="s">
        <v>595</v>
      </c>
      <c r="E11" s="530" t="s">
        <v>47</v>
      </c>
      <c r="F11" s="529" t="s">
        <v>23</v>
      </c>
      <c r="G11" s="529" t="s">
        <v>48</v>
      </c>
      <c r="H11" s="529" t="s">
        <v>290</v>
      </c>
      <c r="I11" s="531">
        <v>118.096</v>
      </c>
      <c r="J11" s="532">
        <v>100</v>
      </c>
      <c r="K11" s="550">
        <f>I11*J11%</f>
        <v>118.096</v>
      </c>
      <c r="L11" s="533" t="s">
        <v>289</v>
      </c>
      <c r="M11" s="533"/>
    </row>
    <row r="12" spans="1:13" ht="15">
      <c r="A12" s="528">
        <v>1</v>
      </c>
      <c r="B12" s="506" t="s">
        <v>596</v>
      </c>
      <c r="C12" s="529" t="s">
        <v>51</v>
      </c>
      <c r="D12" s="535" t="s">
        <v>597</v>
      </c>
      <c r="E12" s="530" t="s">
        <v>47</v>
      </c>
      <c r="F12" s="529" t="s">
        <v>23</v>
      </c>
      <c r="G12" s="529" t="s">
        <v>48</v>
      </c>
      <c r="H12" s="529" t="s">
        <v>49</v>
      </c>
      <c r="I12" s="531">
        <v>51.0024</v>
      </c>
      <c r="J12" s="532">
        <v>100</v>
      </c>
      <c r="K12" s="550">
        <f aca="true" t="shared" si="0" ref="K12:K20">I12*J12%</f>
        <v>51.0024</v>
      </c>
      <c r="L12" s="533" t="s">
        <v>289</v>
      </c>
      <c r="M12" s="533"/>
    </row>
    <row r="13" spans="1:13" ht="15">
      <c r="A13" s="528">
        <v>1</v>
      </c>
      <c r="B13" s="506" t="s">
        <v>6</v>
      </c>
      <c r="C13" s="529" t="s">
        <v>46</v>
      </c>
      <c r="D13" s="535" t="s">
        <v>598</v>
      </c>
      <c r="E13" s="530" t="s">
        <v>47</v>
      </c>
      <c r="F13" s="529" t="s">
        <v>23</v>
      </c>
      <c r="G13" s="529" t="s">
        <v>48</v>
      </c>
      <c r="H13" s="529" t="s">
        <v>290</v>
      </c>
      <c r="I13" s="531">
        <v>229.68</v>
      </c>
      <c r="J13" s="532">
        <v>100</v>
      </c>
      <c r="K13" s="550">
        <f t="shared" si="0"/>
        <v>229.68</v>
      </c>
      <c r="L13" s="533" t="s">
        <v>289</v>
      </c>
      <c r="M13" s="533"/>
    </row>
    <row r="14" spans="1:13" ht="15">
      <c r="A14" s="528">
        <v>1</v>
      </c>
      <c r="B14" s="506" t="s">
        <v>176</v>
      </c>
      <c r="C14" s="529" t="s">
        <v>46</v>
      </c>
      <c r="D14" s="535" t="s">
        <v>599</v>
      </c>
      <c r="E14" s="530" t="s">
        <v>47</v>
      </c>
      <c r="F14" s="529" t="s">
        <v>23</v>
      </c>
      <c r="G14" s="529" t="s">
        <v>48</v>
      </c>
      <c r="H14" s="529" t="s">
        <v>49</v>
      </c>
      <c r="I14" s="531">
        <v>719.312</v>
      </c>
      <c r="J14" s="532">
        <v>100</v>
      </c>
      <c r="K14" s="550">
        <f t="shared" si="0"/>
        <v>719.312</v>
      </c>
      <c r="L14" s="533" t="s">
        <v>289</v>
      </c>
      <c r="M14" s="533"/>
    </row>
    <row r="15" spans="1:13" ht="15">
      <c r="A15" s="528">
        <v>1</v>
      </c>
      <c r="B15" s="506" t="s">
        <v>59</v>
      </c>
      <c r="C15" s="529" t="s">
        <v>54</v>
      </c>
      <c r="D15" s="529">
        <v>2001</v>
      </c>
      <c r="E15" s="530" t="s">
        <v>47</v>
      </c>
      <c r="F15" s="529" t="s">
        <v>23</v>
      </c>
      <c r="G15" s="529" t="s">
        <v>48</v>
      </c>
      <c r="H15" s="529" t="s">
        <v>49</v>
      </c>
      <c r="I15" s="531">
        <v>97.028</v>
      </c>
      <c r="J15" s="532">
        <v>100</v>
      </c>
      <c r="K15" s="550">
        <f t="shared" si="0"/>
        <v>97.028</v>
      </c>
      <c r="L15" s="533" t="s">
        <v>289</v>
      </c>
      <c r="M15" s="533"/>
    </row>
    <row r="16" spans="1:13" ht="15">
      <c r="A16" s="528">
        <v>1</v>
      </c>
      <c r="B16" s="506" t="s">
        <v>600</v>
      </c>
      <c r="C16" s="529" t="s">
        <v>51</v>
      </c>
      <c r="D16" s="529">
        <v>2004</v>
      </c>
      <c r="E16" s="530" t="s">
        <v>47</v>
      </c>
      <c r="F16" s="529" t="s">
        <v>23</v>
      </c>
      <c r="G16" s="529" t="s">
        <v>48</v>
      </c>
      <c r="H16" s="529" t="s">
        <v>49</v>
      </c>
      <c r="I16" s="531">
        <v>52.8915</v>
      </c>
      <c r="J16" s="532">
        <v>100</v>
      </c>
      <c r="K16" s="550">
        <f t="shared" si="0"/>
        <v>52.8915</v>
      </c>
      <c r="L16" s="533" t="s">
        <v>289</v>
      </c>
      <c r="M16" s="533"/>
    </row>
    <row r="17" spans="1:13" ht="15">
      <c r="A17" s="528">
        <v>1</v>
      </c>
      <c r="B17" s="506" t="s">
        <v>2</v>
      </c>
      <c r="C17" s="529" t="s">
        <v>61</v>
      </c>
      <c r="D17" s="529">
        <v>2005</v>
      </c>
      <c r="E17" s="530" t="s">
        <v>47</v>
      </c>
      <c r="F17" s="529" t="s">
        <v>23</v>
      </c>
      <c r="G17" s="529" t="s">
        <v>48</v>
      </c>
      <c r="H17" s="529" t="s">
        <v>49</v>
      </c>
      <c r="I17" s="531">
        <v>369.08784</v>
      </c>
      <c r="J17" s="532">
        <v>100</v>
      </c>
      <c r="K17" s="550">
        <f t="shared" si="0"/>
        <v>369.08784</v>
      </c>
      <c r="L17" s="533" t="s">
        <v>289</v>
      </c>
      <c r="M17" s="533"/>
    </row>
    <row r="18" spans="1:13" ht="15">
      <c r="A18" s="528">
        <v>1</v>
      </c>
      <c r="B18" s="506" t="s">
        <v>169</v>
      </c>
      <c r="C18" s="529" t="s">
        <v>138</v>
      </c>
      <c r="D18" s="529">
        <v>2006</v>
      </c>
      <c r="E18" s="530" t="s">
        <v>47</v>
      </c>
      <c r="F18" s="529" t="s">
        <v>23</v>
      </c>
      <c r="G18" s="529" t="s">
        <v>48</v>
      </c>
      <c r="H18" s="529" t="s">
        <v>49</v>
      </c>
      <c r="I18" s="531">
        <v>764.596</v>
      </c>
      <c r="J18" s="532">
        <v>100</v>
      </c>
      <c r="K18" s="550">
        <f t="shared" si="0"/>
        <v>764.596</v>
      </c>
      <c r="L18" s="533" t="s">
        <v>289</v>
      </c>
      <c r="M18" s="533"/>
    </row>
    <row r="19" spans="1:13" ht="15">
      <c r="A19" s="528">
        <v>1</v>
      </c>
      <c r="B19" s="506" t="s">
        <v>177</v>
      </c>
      <c r="C19" s="529" t="s">
        <v>139</v>
      </c>
      <c r="D19" s="529">
        <v>2006</v>
      </c>
      <c r="E19" s="530" t="s">
        <v>47</v>
      </c>
      <c r="F19" s="529" t="s">
        <v>23</v>
      </c>
      <c r="G19" s="529" t="s">
        <v>48</v>
      </c>
      <c r="H19" s="529" t="s">
        <v>49</v>
      </c>
      <c r="I19" s="531">
        <v>766.90887</v>
      </c>
      <c r="J19" s="532">
        <v>100</v>
      </c>
      <c r="K19" s="550">
        <f t="shared" si="0"/>
        <v>766.90887</v>
      </c>
      <c r="L19" s="533" t="s">
        <v>289</v>
      </c>
      <c r="M19" s="533"/>
    </row>
    <row r="20" spans="1:13" ht="15">
      <c r="A20" s="528">
        <v>1</v>
      </c>
      <c r="B20" s="506" t="s">
        <v>155</v>
      </c>
      <c r="C20" s="529" t="s">
        <v>156</v>
      </c>
      <c r="D20" s="529">
        <v>2007</v>
      </c>
      <c r="E20" s="530" t="s">
        <v>47</v>
      </c>
      <c r="F20" s="529" t="s">
        <v>23</v>
      </c>
      <c r="G20" s="529" t="s">
        <v>48</v>
      </c>
      <c r="H20" s="529" t="s">
        <v>49</v>
      </c>
      <c r="I20" s="531">
        <v>818.2754</v>
      </c>
      <c r="J20" s="532">
        <v>100</v>
      </c>
      <c r="K20" s="550">
        <f t="shared" si="0"/>
        <v>818.2754</v>
      </c>
      <c r="L20" s="533" t="s">
        <v>289</v>
      </c>
      <c r="M20" s="533"/>
    </row>
    <row r="21" spans="1:13" ht="15">
      <c r="A21" s="536"/>
      <c r="C21" s="537"/>
      <c r="D21" s="538"/>
      <c r="E21" s="537"/>
      <c r="F21" s="537"/>
      <c r="G21" s="537"/>
      <c r="H21" s="537"/>
      <c r="I21" s="538"/>
      <c r="J21" s="538"/>
      <c r="K21" s="550"/>
      <c r="L21" s="539"/>
      <c r="M21" s="539"/>
    </row>
    <row r="22" spans="1:13" ht="15">
      <c r="A22" s="540">
        <f>SUM(A7:A20)</f>
        <v>14</v>
      </c>
      <c r="B22" s="541" t="s">
        <v>40</v>
      </c>
      <c r="C22" s="542"/>
      <c r="D22" s="543"/>
      <c r="E22" s="542"/>
      <c r="F22" s="542"/>
      <c r="G22" s="542"/>
      <c r="H22" s="542"/>
      <c r="I22" s="544">
        <f>SUM(I7:I20)</f>
        <v>4451.087009999999</v>
      </c>
      <c r="J22" s="545"/>
      <c r="K22" s="544">
        <f>SUM(K7:K20)</f>
        <v>4451.087009999999</v>
      </c>
      <c r="L22" s="546"/>
      <c r="M22" s="546"/>
    </row>
    <row r="23" spans="1:13" ht="15.75" thickBot="1">
      <c r="A23" s="547"/>
      <c r="C23" s="548"/>
      <c r="D23" s="549"/>
      <c r="E23" s="548"/>
      <c r="F23" s="548"/>
      <c r="G23" s="548"/>
      <c r="H23" s="548"/>
      <c r="I23" s="549"/>
      <c r="J23" s="549"/>
      <c r="K23" s="550"/>
      <c r="L23" s="546"/>
      <c r="M23" s="546"/>
    </row>
    <row r="24" spans="1:13" ht="21.75" thickBot="1" thickTop="1">
      <c r="A24" s="551">
        <f>A22</f>
        <v>14</v>
      </c>
      <c r="B24" s="552" t="s">
        <v>253</v>
      </c>
      <c r="C24" s="553"/>
      <c r="D24" s="554"/>
      <c r="E24" s="553"/>
      <c r="F24" s="553"/>
      <c r="G24" s="553"/>
      <c r="H24" s="553"/>
      <c r="I24" s="901">
        <f>I22</f>
        <v>4451.087009999999</v>
      </c>
      <c r="J24" s="555"/>
      <c r="K24" s="899">
        <f>K22</f>
        <v>4451.087009999999</v>
      </c>
      <c r="L24" s="556"/>
      <c r="M24" s="556"/>
    </row>
    <row r="25" spans="1:13" ht="15.75" thickTop="1">
      <c r="A25" s="548"/>
      <c r="C25" s="548"/>
      <c r="D25" s="549"/>
      <c r="E25" s="548"/>
      <c r="F25" s="548"/>
      <c r="G25" s="548"/>
      <c r="H25" s="548"/>
      <c r="I25" s="549"/>
      <c r="J25" s="549"/>
      <c r="K25" s="557"/>
      <c r="L25" s="557"/>
      <c r="M25" s="548"/>
    </row>
    <row r="26" spans="1:13" ht="15.75" thickBot="1">
      <c r="A26" s="548"/>
      <c r="C26" s="548"/>
      <c r="D26" s="549"/>
      <c r="E26" s="548"/>
      <c r="F26" s="548"/>
      <c r="G26" s="548"/>
      <c r="H26" s="548"/>
      <c r="I26" s="549"/>
      <c r="J26" s="549"/>
      <c r="K26" s="557"/>
      <c r="L26" s="557"/>
      <c r="M26" s="548"/>
    </row>
    <row r="27" spans="1:13" ht="15.75" thickBot="1">
      <c r="A27" s="515"/>
      <c r="B27" s="558" t="s">
        <v>254</v>
      </c>
      <c r="C27" s="559"/>
      <c r="D27" s="560"/>
      <c r="E27" s="561"/>
      <c r="F27" s="562"/>
      <c r="G27" s="562"/>
      <c r="H27" s="562"/>
      <c r="I27" s="563"/>
      <c r="J27" s="563"/>
      <c r="K27" s="564"/>
      <c r="L27" s="527"/>
      <c r="M27" s="503"/>
    </row>
    <row r="28" spans="1:13" ht="15">
      <c r="A28" s="521"/>
      <c r="B28" s="565"/>
      <c r="C28" s="566"/>
      <c r="D28" s="567"/>
      <c r="E28" s="548"/>
      <c r="F28" s="568"/>
      <c r="G28" s="568"/>
      <c r="H28" s="568"/>
      <c r="I28" s="569"/>
      <c r="J28" s="569"/>
      <c r="K28" s="550"/>
      <c r="L28" s="546"/>
      <c r="M28" s="503"/>
    </row>
    <row r="29" spans="1:13" ht="15">
      <c r="A29" s="570">
        <v>1</v>
      </c>
      <c r="B29" s="565" t="s">
        <v>245</v>
      </c>
      <c r="C29" s="530" t="s">
        <v>291</v>
      </c>
      <c r="D29" s="569">
        <v>2005</v>
      </c>
      <c r="E29" s="548" t="s">
        <v>178</v>
      </c>
      <c r="F29" s="529" t="s">
        <v>23</v>
      </c>
      <c r="G29" s="529" t="s">
        <v>48</v>
      </c>
      <c r="H29" s="569" t="s">
        <v>49</v>
      </c>
      <c r="I29" s="571">
        <v>389.4</v>
      </c>
      <c r="J29" s="900">
        <v>37.89</v>
      </c>
      <c r="K29" s="572">
        <f>I29*J29%</f>
        <v>147.54366</v>
      </c>
      <c r="L29" s="573" t="s">
        <v>292</v>
      </c>
      <c r="M29" s="503"/>
    </row>
    <row r="30" spans="1:13" ht="15">
      <c r="A30" s="570">
        <v>1</v>
      </c>
      <c r="B30" s="565" t="s">
        <v>213</v>
      </c>
      <c r="C30" s="530" t="s">
        <v>214</v>
      </c>
      <c r="D30" s="569">
        <v>2010</v>
      </c>
      <c r="E30" s="548" t="s">
        <v>178</v>
      </c>
      <c r="F30" s="529" t="s">
        <v>23</v>
      </c>
      <c r="G30" s="529" t="s">
        <v>48</v>
      </c>
      <c r="H30" s="569" t="s">
        <v>49</v>
      </c>
      <c r="I30" s="571">
        <v>410</v>
      </c>
      <c r="J30" s="900">
        <v>37.89</v>
      </c>
      <c r="K30" s="572">
        <f>I30*J30%</f>
        <v>155.34900000000002</v>
      </c>
      <c r="L30" s="573" t="s">
        <v>292</v>
      </c>
      <c r="M30" s="503"/>
    </row>
    <row r="31" spans="1:13" ht="15">
      <c r="A31" s="528">
        <v>1</v>
      </c>
      <c r="B31" s="565" t="s">
        <v>246</v>
      </c>
      <c r="C31" s="530" t="s">
        <v>247</v>
      </c>
      <c r="D31" s="529"/>
      <c r="E31" s="565" t="s">
        <v>246</v>
      </c>
      <c r="F31" s="529"/>
      <c r="G31" s="529" t="s">
        <v>48</v>
      </c>
      <c r="H31" s="569" t="s">
        <v>49</v>
      </c>
      <c r="I31" s="571">
        <v>226</v>
      </c>
      <c r="J31" s="532">
        <v>50</v>
      </c>
      <c r="K31" s="572">
        <f>I31*J31%</f>
        <v>113</v>
      </c>
      <c r="L31" s="573" t="s">
        <v>292</v>
      </c>
      <c r="M31" s="512"/>
    </row>
    <row r="32" spans="1:13" ht="15.75" thickBot="1">
      <c r="A32" s="503"/>
      <c r="B32" s="565"/>
      <c r="C32" s="537"/>
      <c r="D32" s="574"/>
      <c r="E32" s="548"/>
      <c r="F32" s="538"/>
      <c r="G32" s="575"/>
      <c r="H32" s="574"/>
      <c r="I32" s="538"/>
      <c r="J32" s="576"/>
      <c r="K32" s="572"/>
      <c r="L32" s="577"/>
      <c r="M32" s="503"/>
    </row>
    <row r="33" spans="1:13" ht="21.75" thickBot="1" thickTop="1">
      <c r="A33" s="551">
        <f>SUM(A29:A31)</f>
        <v>3</v>
      </c>
      <c r="B33" s="578" t="s">
        <v>255</v>
      </c>
      <c r="C33" s="579"/>
      <c r="D33" s="580"/>
      <c r="E33" s="579"/>
      <c r="F33" s="579"/>
      <c r="G33" s="579"/>
      <c r="H33" s="579"/>
      <c r="I33" s="581">
        <f>SUM(I29:I31)</f>
        <v>1025.4</v>
      </c>
      <c r="J33" s="582"/>
      <c r="K33" s="583">
        <f>SUM(K29:K31)</f>
        <v>415.89266</v>
      </c>
      <c r="L33" s="556"/>
      <c r="M33" s="503"/>
    </row>
    <row r="34" spans="1:13" ht="15.75" thickTop="1">
      <c r="A34" s="503"/>
      <c r="B34" s="512"/>
      <c r="C34" s="503"/>
      <c r="D34" s="503"/>
      <c r="E34" s="503"/>
      <c r="F34" s="503"/>
      <c r="G34" s="503"/>
      <c r="H34" s="503"/>
      <c r="I34" s="504"/>
      <c r="J34" s="504"/>
      <c r="K34" s="505"/>
      <c r="L34" s="505"/>
      <c r="M34" s="503"/>
    </row>
    <row r="35" spans="1:13" ht="15">
      <c r="A35" s="503"/>
      <c r="B35" s="503" t="s">
        <v>252</v>
      </c>
      <c r="C35" s="503"/>
      <c r="D35" s="503"/>
      <c r="E35" s="503"/>
      <c r="F35" s="503"/>
      <c r="G35" s="503"/>
      <c r="H35" s="503"/>
      <c r="I35" s="504"/>
      <c r="J35" s="504"/>
      <c r="K35" s="505"/>
      <c r="L35" s="505"/>
      <c r="M35" s="503"/>
    </row>
    <row r="36" spans="1:13" ht="15">
      <c r="A36" s="503"/>
      <c r="B36" s="503" t="s">
        <v>601</v>
      </c>
      <c r="C36" s="503"/>
      <c r="D36" s="503"/>
      <c r="E36" s="503"/>
      <c r="F36" s="503"/>
      <c r="G36" s="503"/>
      <c r="H36" s="503"/>
      <c r="I36" s="504"/>
      <c r="J36" s="504"/>
      <c r="K36" s="505"/>
      <c r="L36" s="505"/>
      <c r="M36" s="503"/>
    </row>
    <row r="37" spans="1:13" ht="15">
      <c r="A37" s="503"/>
      <c r="B37" s="512"/>
      <c r="C37" s="503"/>
      <c r="D37" s="503"/>
      <c r="E37" s="503"/>
      <c r="F37" s="503"/>
      <c r="G37" s="503"/>
      <c r="H37" s="503"/>
      <c r="I37" s="504"/>
      <c r="J37" s="504"/>
      <c r="K37" s="505"/>
      <c r="L37" s="505"/>
      <c r="M37" s="503"/>
    </row>
    <row r="38" spans="1:11" ht="15">
      <c r="A38" s="503"/>
      <c r="B38" s="503"/>
      <c r="C38" s="503"/>
      <c r="D38" s="503"/>
      <c r="E38" s="503"/>
      <c r="F38" s="503"/>
      <c r="G38" s="503"/>
      <c r="H38" s="504"/>
      <c r="I38" s="504"/>
      <c r="J38" s="505"/>
      <c r="K38" s="505"/>
    </row>
    <row r="39" spans="8:10" ht="14.25">
      <c r="H39" s="506"/>
      <c r="I39" s="506"/>
      <c r="J39" s="506"/>
    </row>
    <row r="40" spans="8:10" ht="14.25">
      <c r="H40" s="506"/>
      <c r="I40" s="506"/>
      <c r="J40" s="506"/>
    </row>
    <row r="41" spans="8:10" ht="14.25">
      <c r="H41" s="506"/>
      <c r="I41" s="506"/>
      <c r="J41" s="506"/>
    </row>
    <row r="42" spans="8:10" ht="14.25">
      <c r="H42" s="506"/>
      <c r="I42" s="506"/>
      <c r="J42" s="506"/>
    </row>
    <row r="43" spans="8:10" ht="14.25">
      <c r="H43" s="506"/>
      <c r="I43" s="506"/>
      <c r="J43" s="506"/>
    </row>
    <row r="44" spans="8:10" ht="14.25">
      <c r="H44" s="506"/>
      <c r="I44" s="506"/>
      <c r="J44" s="506"/>
    </row>
    <row r="45" spans="8:10" ht="14.25">
      <c r="H45" s="506"/>
      <c r="I45" s="506"/>
      <c r="J45" s="506"/>
    </row>
    <row r="46" spans="8:10" ht="14.25">
      <c r="H46" s="506"/>
      <c r="I46" s="506"/>
      <c r="J46" s="506"/>
    </row>
    <row r="47" spans="8:10" ht="14.25">
      <c r="H47" s="506"/>
      <c r="I47" s="506"/>
      <c r="J47" s="506"/>
    </row>
    <row r="48" spans="8:10" ht="14.25">
      <c r="H48" s="506"/>
      <c r="I48" s="506"/>
      <c r="J48" s="506"/>
    </row>
    <row r="49" spans="8:10" ht="14.25">
      <c r="H49" s="506"/>
      <c r="I49" s="506"/>
      <c r="J49" s="506"/>
    </row>
    <row r="50" spans="8:10" ht="14.25">
      <c r="H50" s="506"/>
      <c r="I50" s="506"/>
      <c r="J50" s="506"/>
    </row>
    <row r="51" spans="8:10" ht="14.25">
      <c r="H51" s="506"/>
      <c r="I51" s="506"/>
      <c r="J51" s="506"/>
    </row>
    <row r="52" spans="8:10" ht="14.25">
      <c r="H52" s="506"/>
      <c r="I52" s="506"/>
      <c r="J52" s="506"/>
    </row>
    <row r="53" spans="8:10" ht="14.25">
      <c r="H53" s="506"/>
      <c r="I53" s="506"/>
      <c r="J53" s="506"/>
    </row>
    <row r="54" spans="8:10" ht="14.25">
      <c r="H54" s="506"/>
      <c r="I54" s="506"/>
      <c r="J54" s="506"/>
    </row>
    <row r="55" spans="8:10" ht="14.25">
      <c r="H55" s="506"/>
      <c r="I55" s="506"/>
      <c r="J55" s="506"/>
    </row>
    <row r="56" spans="8:10" ht="14.25">
      <c r="H56" s="506"/>
      <c r="I56" s="506"/>
      <c r="J56" s="506"/>
    </row>
    <row r="57" spans="8:10" ht="14.25">
      <c r="H57" s="506"/>
      <c r="I57" s="506"/>
      <c r="J57" s="506"/>
    </row>
    <row r="58" spans="8:10" ht="14.25">
      <c r="H58" s="506"/>
      <c r="I58" s="506"/>
      <c r="J58" s="506"/>
    </row>
    <row r="59" spans="8:10" ht="14.25">
      <c r="H59" s="506"/>
      <c r="I59" s="506"/>
      <c r="J59" s="506"/>
    </row>
    <row r="60" spans="8:10" ht="14.25">
      <c r="H60" s="506"/>
      <c r="I60" s="506"/>
      <c r="J60" s="506"/>
    </row>
    <row r="61" spans="8:10" ht="14.25">
      <c r="H61" s="506"/>
      <c r="I61" s="506"/>
      <c r="J61" s="506"/>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17"/>
  <sheetViews>
    <sheetView zoomScalePageLayoutView="0" workbookViewId="0" topLeftCell="A88">
      <selection activeCell="P27" sqref="P27"/>
    </sheetView>
  </sheetViews>
  <sheetFormatPr defaultColWidth="9.140625" defaultRowHeight="12.75"/>
  <cols>
    <col min="1" max="1" width="9.00390625" style="588" customWidth="1"/>
    <col min="2" max="2" width="31.140625" style="588" customWidth="1"/>
    <col min="3" max="3" width="24.8515625" style="588" bestFit="1" customWidth="1"/>
    <col min="4" max="4" width="11.28125" style="588" bestFit="1" customWidth="1"/>
    <col min="5" max="5" width="28.421875" style="588" bestFit="1" customWidth="1"/>
    <col min="6" max="6" width="13.7109375" style="588" bestFit="1" customWidth="1"/>
    <col min="7" max="7" width="28.28125" style="588" bestFit="1" customWidth="1"/>
    <col min="8" max="8" width="11.140625" style="588" bestFit="1" customWidth="1"/>
    <col min="9" max="9" width="15.421875" style="636" bestFit="1" customWidth="1"/>
    <col min="10" max="10" width="16.28125" style="585" bestFit="1" customWidth="1"/>
    <col min="11" max="11" width="15.421875" style="588" bestFit="1" customWidth="1"/>
    <col min="12" max="16384" width="9.140625" style="588" customWidth="1"/>
  </cols>
  <sheetData>
    <row r="1" spans="1:12" ht="15">
      <c r="A1" s="586"/>
      <c r="B1" s="586"/>
      <c r="C1" s="586"/>
      <c r="D1" s="586"/>
      <c r="E1" s="586"/>
      <c r="F1" s="586"/>
      <c r="G1" s="586"/>
      <c r="H1" s="586"/>
      <c r="I1" s="586"/>
      <c r="J1" s="587"/>
      <c r="K1" s="505"/>
      <c r="L1" s="586"/>
    </row>
    <row r="2" spans="1:12" ht="15.75">
      <c r="A2" s="507" t="s">
        <v>602</v>
      </c>
      <c r="B2" s="586"/>
      <c r="C2" s="589"/>
      <c r="D2" s="590"/>
      <c r="E2" s="590"/>
      <c r="F2" s="590"/>
      <c r="G2" s="586"/>
      <c r="H2" s="590"/>
      <c r="I2" s="590"/>
      <c r="J2" s="587"/>
      <c r="K2" s="505"/>
      <c r="L2" s="586"/>
    </row>
    <row r="3" spans="1:12" ht="15">
      <c r="A3" s="586"/>
      <c r="B3" s="586"/>
      <c r="C3" s="586"/>
      <c r="D3" s="586"/>
      <c r="E3" s="587"/>
      <c r="F3" s="591"/>
      <c r="G3" s="591"/>
      <c r="H3" s="586"/>
      <c r="I3" s="586"/>
      <c r="J3" s="587"/>
      <c r="K3" s="505"/>
      <c r="L3" s="586"/>
    </row>
    <row r="4" spans="1:12" ht="15">
      <c r="A4" s="592"/>
      <c r="B4" s="593"/>
      <c r="C4" s="591"/>
      <c r="D4" s="591"/>
      <c r="E4" s="591"/>
      <c r="F4" s="476"/>
      <c r="G4" s="586"/>
      <c r="H4" s="591"/>
      <c r="I4" s="591"/>
      <c r="J4" s="587"/>
      <c r="K4" s="513"/>
      <c r="L4" s="586"/>
    </row>
    <row r="5" spans="1:12" ht="15.75" thickBot="1">
      <c r="A5" s="591"/>
      <c r="B5" s="591"/>
      <c r="C5" s="586"/>
      <c r="D5" s="586"/>
      <c r="E5" s="586"/>
      <c r="F5" s="586"/>
      <c r="G5" s="586"/>
      <c r="H5" s="586"/>
      <c r="I5" s="586"/>
      <c r="J5" s="587"/>
      <c r="K5" s="505"/>
      <c r="L5" s="586"/>
    </row>
    <row r="6" spans="1:12" s="520" customFormat="1" ht="60.75" customHeight="1" thickBot="1">
      <c r="A6" s="594" t="s">
        <v>344</v>
      </c>
      <c r="B6" s="594" t="s">
        <v>4</v>
      </c>
      <c r="C6" s="595" t="s">
        <v>42</v>
      </c>
      <c r="D6" s="595" t="s">
        <v>5</v>
      </c>
      <c r="E6" s="595" t="s">
        <v>43</v>
      </c>
      <c r="F6" s="595" t="s">
        <v>18</v>
      </c>
      <c r="G6" s="595" t="s">
        <v>19</v>
      </c>
      <c r="H6" s="595" t="s">
        <v>592</v>
      </c>
      <c r="I6" s="596" t="s">
        <v>293</v>
      </c>
      <c r="J6" s="597" t="s">
        <v>603</v>
      </c>
      <c r="K6" s="515" t="s">
        <v>288</v>
      </c>
      <c r="L6" s="598"/>
    </row>
    <row r="7" spans="1:12" ht="15">
      <c r="A7" s="599"/>
      <c r="B7" s="600"/>
      <c r="C7" s="601"/>
      <c r="D7" s="602"/>
      <c r="E7" s="601"/>
      <c r="F7" s="601"/>
      <c r="G7" s="601"/>
      <c r="H7" s="602"/>
      <c r="I7" s="603"/>
      <c r="J7" s="604"/>
      <c r="K7" s="605"/>
      <c r="L7" s="598"/>
    </row>
    <row r="8" spans="1:12" ht="15">
      <c r="A8" s="606">
        <v>1</v>
      </c>
      <c r="B8" s="607" t="s">
        <v>294</v>
      </c>
      <c r="C8" s="608" t="s">
        <v>179</v>
      </c>
      <c r="D8" s="608">
        <v>2004</v>
      </c>
      <c r="E8" s="609" t="s">
        <v>180</v>
      </c>
      <c r="F8" s="608" t="s">
        <v>23</v>
      </c>
      <c r="G8" s="609" t="s">
        <v>21</v>
      </c>
      <c r="H8" s="910">
        <v>3.67</v>
      </c>
      <c r="I8" s="610">
        <v>49</v>
      </c>
      <c r="J8" s="911">
        <v>3.67</v>
      </c>
      <c r="K8" s="533" t="s">
        <v>295</v>
      </c>
      <c r="L8" s="598"/>
    </row>
    <row r="9" spans="1:12" ht="15">
      <c r="A9" s="606">
        <v>1</v>
      </c>
      <c r="B9" s="607" t="s">
        <v>296</v>
      </c>
      <c r="C9" s="608" t="s">
        <v>179</v>
      </c>
      <c r="D9" s="608">
        <v>1951</v>
      </c>
      <c r="E9" s="609" t="s">
        <v>180</v>
      </c>
      <c r="F9" s="608" t="s">
        <v>23</v>
      </c>
      <c r="G9" s="609" t="s">
        <v>24</v>
      </c>
      <c r="H9" s="910">
        <v>93.95</v>
      </c>
      <c r="I9" s="610">
        <v>49</v>
      </c>
      <c r="J9" s="911">
        <v>93.95</v>
      </c>
      <c r="K9" s="533" t="s">
        <v>295</v>
      </c>
      <c r="L9" s="598"/>
    </row>
    <row r="10" spans="1:12" ht="15">
      <c r="A10" s="606">
        <v>1</v>
      </c>
      <c r="B10" s="607" t="s">
        <v>167</v>
      </c>
      <c r="C10" s="608" t="s">
        <v>179</v>
      </c>
      <c r="D10" s="608">
        <v>2004</v>
      </c>
      <c r="E10" s="609" t="s">
        <v>180</v>
      </c>
      <c r="F10" s="608" t="s">
        <v>23</v>
      </c>
      <c r="G10" s="609" t="s">
        <v>21</v>
      </c>
      <c r="H10" s="910">
        <v>0.53</v>
      </c>
      <c r="I10" s="610">
        <v>49</v>
      </c>
      <c r="J10" s="911">
        <v>0.53</v>
      </c>
      <c r="K10" s="533" t="s">
        <v>295</v>
      </c>
      <c r="L10" s="598"/>
    </row>
    <row r="11" spans="1:12" ht="15">
      <c r="A11" s="606">
        <v>1</v>
      </c>
      <c r="B11" s="607" t="s">
        <v>27</v>
      </c>
      <c r="C11" s="608" t="s">
        <v>179</v>
      </c>
      <c r="D11" s="608">
        <v>1929</v>
      </c>
      <c r="E11" s="609" t="s">
        <v>180</v>
      </c>
      <c r="F11" s="608" t="s">
        <v>23</v>
      </c>
      <c r="G11" s="609" t="s">
        <v>20</v>
      </c>
      <c r="H11" s="910">
        <v>53.2</v>
      </c>
      <c r="I11" s="610">
        <v>49</v>
      </c>
      <c r="J11" s="911">
        <v>53.2</v>
      </c>
      <c r="K11" s="533" t="s">
        <v>295</v>
      </c>
      <c r="L11" s="598"/>
    </row>
    <row r="12" spans="1:12" ht="15">
      <c r="A12" s="606">
        <v>1</v>
      </c>
      <c r="B12" s="607" t="s">
        <v>164</v>
      </c>
      <c r="C12" s="608" t="s">
        <v>179</v>
      </c>
      <c r="D12" s="608">
        <v>1925</v>
      </c>
      <c r="E12" s="609" t="s">
        <v>180</v>
      </c>
      <c r="F12" s="608" t="s">
        <v>23</v>
      </c>
      <c r="G12" s="609" t="s">
        <v>187</v>
      </c>
      <c r="H12" s="910">
        <v>7.58</v>
      </c>
      <c r="I12" s="610">
        <v>49</v>
      </c>
      <c r="J12" s="911">
        <v>7.58</v>
      </c>
      <c r="K12" s="533" t="s">
        <v>295</v>
      </c>
      <c r="L12" s="598"/>
    </row>
    <row r="13" spans="1:12" ht="15">
      <c r="A13" s="606">
        <v>1</v>
      </c>
      <c r="B13" s="607" t="s">
        <v>26</v>
      </c>
      <c r="C13" s="608" t="s">
        <v>181</v>
      </c>
      <c r="D13" s="608" t="s">
        <v>604</v>
      </c>
      <c r="E13" s="609" t="s">
        <v>47</v>
      </c>
      <c r="F13" s="608" t="s">
        <v>23</v>
      </c>
      <c r="G13" s="609" t="s">
        <v>20</v>
      </c>
      <c r="H13" s="910">
        <v>51.48</v>
      </c>
      <c r="I13" s="610">
        <v>100</v>
      </c>
      <c r="J13" s="912">
        <f>+H13*I13%</f>
        <v>51.48</v>
      </c>
      <c r="K13" s="533" t="s">
        <v>295</v>
      </c>
      <c r="L13" s="598"/>
    </row>
    <row r="14" spans="1:12" ht="15">
      <c r="A14" s="606">
        <v>1</v>
      </c>
      <c r="B14" s="607" t="s">
        <v>157</v>
      </c>
      <c r="C14" s="608" t="s">
        <v>181</v>
      </c>
      <c r="D14" s="608">
        <v>1950</v>
      </c>
      <c r="E14" s="609" t="s">
        <v>47</v>
      </c>
      <c r="F14" s="608" t="s">
        <v>23</v>
      </c>
      <c r="G14" s="609" t="s">
        <v>20</v>
      </c>
      <c r="H14" s="910">
        <v>60.78</v>
      </c>
      <c r="I14" s="611">
        <v>100</v>
      </c>
      <c r="J14" s="912">
        <f aca="true" t="shared" si="0" ref="J14:J43">+H14*I14%</f>
        <v>60.78</v>
      </c>
      <c r="K14" s="533" t="s">
        <v>295</v>
      </c>
      <c r="L14" s="598"/>
    </row>
    <row r="15" spans="1:12" ht="15">
      <c r="A15" s="606">
        <v>1</v>
      </c>
      <c r="B15" s="607" t="s">
        <v>33</v>
      </c>
      <c r="C15" s="608" t="s">
        <v>181</v>
      </c>
      <c r="D15" s="608" t="s">
        <v>605</v>
      </c>
      <c r="E15" s="609" t="s">
        <v>47</v>
      </c>
      <c r="F15" s="608" t="s">
        <v>23</v>
      </c>
      <c r="G15" s="609" t="s">
        <v>21</v>
      </c>
      <c r="H15" s="910">
        <v>37.62</v>
      </c>
      <c r="I15" s="611">
        <v>100</v>
      </c>
      <c r="J15" s="912">
        <f t="shared" si="0"/>
        <v>37.62</v>
      </c>
      <c r="K15" s="533" t="s">
        <v>295</v>
      </c>
      <c r="L15" s="598"/>
    </row>
    <row r="16" spans="1:12" ht="15">
      <c r="A16" s="606">
        <v>1</v>
      </c>
      <c r="B16" s="607" t="s">
        <v>37</v>
      </c>
      <c r="C16" s="608" t="s">
        <v>182</v>
      </c>
      <c r="D16" s="608" t="s">
        <v>606</v>
      </c>
      <c r="E16" s="609" t="s">
        <v>47</v>
      </c>
      <c r="F16" s="608" t="s">
        <v>23</v>
      </c>
      <c r="G16" s="609" t="s">
        <v>24</v>
      </c>
      <c r="H16" s="910">
        <v>54.78</v>
      </c>
      <c r="I16" s="611">
        <v>100</v>
      </c>
      <c r="J16" s="912">
        <f t="shared" si="0"/>
        <v>54.78</v>
      </c>
      <c r="K16" s="533" t="s">
        <v>295</v>
      </c>
      <c r="L16" s="598"/>
    </row>
    <row r="17" spans="1:12" ht="15">
      <c r="A17" s="606">
        <v>1</v>
      </c>
      <c r="B17" s="607" t="s">
        <v>35</v>
      </c>
      <c r="C17" s="608" t="s">
        <v>182</v>
      </c>
      <c r="D17" s="608" t="s">
        <v>607</v>
      </c>
      <c r="E17" s="609" t="s">
        <v>47</v>
      </c>
      <c r="F17" s="608" t="s">
        <v>23</v>
      </c>
      <c r="G17" s="609" t="s">
        <v>20</v>
      </c>
      <c r="H17" s="910">
        <v>58.26</v>
      </c>
      <c r="I17" s="611">
        <v>100</v>
      </c>
      <c r="J17" s="912">
        <f t="shared" si="0"/>
        <v>58.26</v>
      </c>
      <c r="K17" s="533" t="s">
        <v>295</v>
      </c>
      <c r="L17" s="598"/>
    </row>
    <row r="18" spans="1:12" ht="15">
      <c r="A18" s="606">
        <v>1</v>
      </c>
      <c r="B18" s="607" t="s">
        <v>36</v>
      </c>
      <c r="C18" s="608" t="s">
        <v>182</v>
      </c>
      <c r="D18" s="608">
        <v>1952</v>
      </c>
      <c r="E18" s="609" t="s">
        <v>47</v>
      </c>
      <c r="F18" s="608" t="s">
        <v>23</v>
      </c>
      <c r="G18" s="609" t="s">
        <v>513</v>
      </c>
      <c r="H18" s="910">
        <v>2.02</v>
      </c>
      <c r="I18" s="611">
        <v>100</v>
      </c>
      <c r="J18" s="912">
        <f t="shared" si="0"/>
        <v>2.02</v>
      </c>
      <c r="K18" s="533" t="s">
        <v>295</v>
      </c>
      <c r="L18" s="598"/>
    </row>
    <row r="19" spans="1:12" ht="15">
      <c r="A19" s="606">
        <v>1</v>
      </c>
      <c r="B19" s="607" t="s">
        <v>29</v>
      </c>
      <c r="C19" s="608" t="s">
        <v>182</v>
      </c>
      <c r="D19" s="608">
        <v>1932</v>
      </c>
      <c r="E19" s="609" t="s">
        <v>47</v>
      </c>
      <c r="F19" s="608" t="s">
        <v>23</v>
      </c>
      <c r="G19" s="609" t="s">
        <v>24</v>
      </c>
      <c r="H19" s="910">
        <v>10.79</v>
      </c>
      <c r="I19" s="611">
        <v>100</v>
      </c>
      <c r="J19" s="912">
        <f t="shared" si="0"/>
        <v>10.79</v>
      </c>
      <c r="K19" s="533" t="s">
        <v>295</v>
      </c>
      <c r="L19" s="598"/>
    </row>
    <row r="20" spans="1:12" ht="15">
      <c r="A20" s="606">
        <v>1</v>
      </c>
      <c r="B20" s="607" t="s">
        <v>30</v>
      </c>
      <c r="C20" s="608" t="s">
        <v>182</v>
      </c>
      <c r="D20" s="608">
        <v>1934</v>
      </c>
      <c r="E20" s="609" t="s">
        <v>47</v>
      </c>
      <c r="F20" s="608" t="s">
        <v>23</v>
      </c>
      <c r="G20" s="609" t="s">
        <v>24</v>
      </c>
      <c r="H20" s="910">
        <v>32.35</v>
      </c>
      <c r="I20" s="611">
        <v>100</v>
      </c>
      <c r="J20" s="912">
        <f t="shared" si="0"/>
        <v>32.35</v>
      </c>
      <c r="K20" s="533" t="s">
        <v>295</v>
      </c>
      <c r="L20" s="591"/>
    </row>
    <row r="21" spans="1:12" ht="15">
      <c r="A21" s="606">
        <v>1</v>
      </c>
      <c r="B21" s="607" t="s">
        <v>28</v>
      </c>
      <c r="C21" s="608" t="s">
        <v>182</v>
      </c>
      <c r="D21" s="608">
        <v>1929</v>
      </c>
      <c r="E21" s="609" t="s">
        <v>47</v>
      </c>
      <c r="F21" s="608" t="s">
        <v>23</v>
      </c>
      <c r="G21" s="609" t="s">
        <v>20</v>
      </c>
      <c r="H21" s="910">
        <v>8.47</v>
      </c>
      <c r="I21" s="611">
        <v>100</v>
      </c>
      <c r="J21" s="912">
        <f t="shared" si="0"/>
        <v>8.47</v>
      </c>
      <c r="K21" s="533" t="s">
        <v>295</v>
      </c>
      <c r="L21" s="591"/>
    </row>
    <row r="22" spans="1:12" ht="15">
      <c r="A22" s="606">
        <v>1</v>
      </c>
      <c r="B22" s="607" t="s">
        <v>25</v>
      </c>
      <c r="C22" s="608" t="s">
        <v>182</v>
      </c>
      <c r="D22" s="608">
        <v>1923</v>
      </c>
      <c r="E22" s="609" t="s">
        <v>47</v>
      </c>
      <c r="F22" s="608" t="s">
        <v>23</v>
      </c>
      <c r="G22" s="609" t="s">
        <v>20</v>
      </c>
      <c r="H22" s="910">
        <v>147</v>
      </c>
      <c r="I22" s="611">
        <v>100</v>
      </c>
      <c r="J22" s="912">
        <f t="shared" si="0"/>
        <v>147</v>
      </c>
      <c r="K22" s="533" t="s">
        <v>295</v>
      </c>
      <c r="L22" s="591"/>
    </row>
    <row r="23" spans="1:12" ht="15">
      <c r="A23" s="606">
        <v>1</v>
      </c>
      <c r="B23" s="607" t="s">
        <v>32</v>
      </c>
      <c r="C23" s="608" t="s">
        <v>182</v>
      </c>
      <c r="D23" s="608" t="s">
        <v>608</v>
      </c>
      <c r="E23" s="609" t="s">
        <v>47</v>
      </c>
      <c r="F23" s="608" t="s">
        <v>23</v>
      </c>
      <c r="G23" s="609" t="s">
        <v>20</v>
      </c>
      <c r="H23" s="910">
        <v>39.11</v>
      </c>
      <c r="I23" s="611">
        <v>100</v>
      </c>
      <c r="J23" s="912">
        <f t="shared" si="0"/>
        <v>39.11</v>
      </c>
      <c r="K23" s="533" t="s">
        <v>295</v>
      </c>
      <c r="L23" s="591"/>
    </row>
    <row r="24" spans="1:12" ht="15">
      <c r="A24" s="606">
        <v>1</v>
      </c>
      <c r="B24" s="607" t="s">
        <v>39</v>
      </c>
      <c r="C24" s="608" t="s">
        <v>183</v>
      </c>
      <c r="D24" s="608" t="s">
        <v>609</v>
      </c>
      <c r="E24" s="609" t="s">
        <v>47</v>
      </c>
      <c r="F24" s="608" t="s">
        <v>23</v>
      </c>
      <c r="G24" s="609" t="s">
        <v>20</v>
      </c>
      <c r="H24" s="910">
        <v>13.32</v>
      </c>
      <c r="I24" s="611">
        <v>100</v>
      </c>
      <c r="J24" s="912">
        <f t="shared" si="0"/>
        <v>13.32</v>
      </c>
      <c r="K24" s="533" t="s">
        <v>295</v>
      </c>
      <c r="L24" s="591"/>
    </row>
    <row r="25" spans="1:12" ht="15">
      <c r="A25" s="606">
        <v>1</v>
      </c>
      <c r="B25" s="607" t="s">
        <v>184</v>
      </c>
      <c r="C25" s="608" t="s">
        <v>185</v>
      </c>
      <c r="D25" s="608" t="s">
        <v>610</v>
      </c>
      <c r="E25" s="609" t="s">
        <v>47</v>
      </c>
      <c r="F25" s="608" t="s">
        <v>23</v>
      </c>
      <c r="G25" s="609" t="s">
        <v>21</v>
      </c>
      <c r="H25" s="910">
        <v>4.99</v>
      </c>
      <c r="I25" s="611">
        <v>100</v>
      </c>
      <c r="J25" s="912">
        <f t="shared" si="0"/>
        <v>4.99</v>
      </c>
      <c r="K25" s="533" t="s">
        <v>295</v>
      </c>
      <c r="L25" s="591"/>
    </row>
    <row r="26" spans="1:12" ht="15">
      <c r="A26" s="606">
        <v>1</v>
      </c>
      <c r="B26" s="607" t="s">
        <v>142</v>
      </c>
      <c r="C26" s="608" t="s">
        <v>51</v>
      </c>
      <c r="D26" s="608">
        <v>1898</v>
      </c>
      <c r="E26" s="609" t="s">
        <v>47</v>
      </c>
      <c r="F26" s="608" t="s">
        <v>23</v>
      </c>
      <c r="G26" s="609" t="s">
        <v>21</v>
      </c>
      <c r="H26" s="910">
        <v>11.72</v>
      </c>
      <c r="I26" s="611">
        <v>100</v>
      </c>
      <c r="J26" s="912">
        <f t="shared" si="0"/>
        <v>11.72</v>
      </c>
      <c r="K26" s="533" t="s">
        <v>295</v>
      </c>
      <c r="L26" s="591"/>
    </row>
    <row r="27" spans="1:12" ht="15">
      <c r="A27" s="606">
        <v>1</v>
      </c>
      <c r="B27" s="607" t="s">
        <v>143</v>
      </c>
      <c r="C27" s="608" t="s">
        <v>51</v>
      </c>
      <c r="D27" s="608" t="s">
        <v>611</v>
      </c>
      <c r="E27" s="609" t="s">
        <v>47</v>
      </c>
      <c r="F27" s="608" t="s">
        <v>23</v>
      </c>
      <c r="G27" s="609" t="s">
        <v>21</v>
      </c>
      <c r="H27" s="910">
        <v>22.81</v>
      </c>
      <c r="I27" s="611">
        <v>100</v>
      </c>
      <c r="J27" s="912">
        <f t="shared" si="0"/>
        <v>22.81</v>
      </c>
      <c r="K27" s="533" t="s">
        <v>295</v>
      </c>
      <c r="L27" s="591"/>
    </row>
    <row r="28" spans="1:12" ht="15">
      <c r="A28" s="606">
        <v>1</v>
      </c>
      <c r="B28" s="607" t="s">
        <v>11</v>
      </c>
      <c r="C28" s="608" t="s">
        <v>186</v>
      </c>
      <c r="D28" s="608">
        <v>1929</v>
      </c>
      <c r="E28" s="609" t="s">
        <v>47</v>
      </c>
      <c r="F28" s="608" t="s">
        <v>23</v>
      </c>
      <c r="G28" s="609" t="s">
        <v>20</v>
      </c>
      <c r="H28" s="910">
        <v>20.81</v>
      </c>
      <c r="I28" s="611">
        <v>100</v>
      </c>
      <c r="J28" s="912">
        <f t="shared" si="0"/>
        <v>20.81</v>
      </c>
      <c r="K28" s="533" t="s">
        <v>295</v>
      </c>
      <c r="L28" s="591"/>
    </row>
    <row r="29" spans="1:12" ht="15">
      <c r="A29" s="606">
        <v>1</v>
      </c>
      <c r="B29" s="607" t="s">
        <v>12</v>
      </c>
      <c r="C29" s="608" t="s">
        <v>186</v>
      </c>
      <c r="D29" s="608">
        <v>1942</v>
      </c>
      <c r="E29" s="609" t="s">
        <v>47</v>
      </c>
      <c r="F29" s="608" t="s">
        <v>23</v>
      </c>
      <c r="G29" s="609" t="s">
        <v>187</v>
      </c>
      <c r="H29" s="910">
        <v>2.21</v>
      </c>
      <c r="I29" s="611">
        <v>100</v>
      </c>
      <c r="J29" s="912">
        <f t="shared" si="0"/>
        <v>2.21</v>
      </c>
      <c r="K29" s="533" t="s">
        <v>295</v>
      </c>
      <c r="L29" s="591"/>
    </row>
    <row r="30" spans="1:12" ht="15">
      <c r="A30" s="606">
        <v>1</v>
      </c>
      <c r="B30" s="607" t="s">
        <v>188</v>
      </c>
      <c r="C30" s="608" t="s">
        <v>60</v>
      </c>
      <c r="D30" s="608">
        <v>1942</v>
      </c>
      <c r="E30" s="609" t="s">
        <v>47</v>
      </c>
      <c r="F30" s="608" t="s">
        <v>23</v>
      </c>
      <c r="G30" s="609" t="s">
        <v>21</v>
      </c>
      <c r="H30" s="910">
        <v>5.27</v>
      </c>
      <c r="I30" s="611">
        <v>100</v>
      </c>
      <c r="J30" s="912">
        <f t="shared" si="0"/>
        <v>5.27</v>
      </c>
      <c r="K30" s="533" t="s">
        <v>295</v>
      </c>
      <c r="L30" s="591"/>
    </row>
    <row r="31" spans="1:12" ht="15">
      <c r="A31" s="606">
        <v>1</v>
      </c>
      <c r="B31" s="607" t="s">
        <v>34</v>
      </c>
      <c r="C31" s="608" t="s">
        <v>56</v>
      </c>
      <c r="D31" s="608">
        <v>1940</v>
      </c>
      <c r="E31" s="609" t="s">
        <v>47</v>
      </c>
      <c r="F31" s="608" t="s">
        <v>23</v>
      </c>
      <c r="G31" s="609" t="s">
        <v>24</v>
      </c>
      <c r="H31" s="910">
        <v>1.76</v>
      </c>
      <c r="I31" s="611">
        <v>100</v>
      </c>
      <c r="J31" s="912">
        <f t="shared" si="0"/>
        <v>1.76</v>
      </c>
      <c r="K31" s="533" t="s">
        <v>295</v>
      </c>
      <c r="L31" s="591"/>
    </row>
    <row r="32" spans="1:12" ht="15">
      <c r="A32" s="606">
        <v>1</v>
      </c>
      <c r="B32" s="607" t="s">
        <v>31</v>
      </c>
      <c r="C32" s="608" t="s">
        <v>56</v>
      </c>
      <c r="D32" s="608" t="s">
        <v>612</v>
      </c>
      <c r="E32" s="609" t="s">
        <v>47</v>
      </c>
      <c r="F32" s="608" t="s">
        <v>23</v>
      </c>
      <c r="G32" s="609" t="s">
        <v>20</v>
      </c>
      <c r="H32" s="910">
        <v>26.11</v>
      </c>
      <c r="I32" s="610">
        <v>100</v>
      </c>
      <c r="J32" s="912">
        <f t="shared" si="0"/>
        <v>26.11</v>
      </c>
      <c r="K32" s="533" t="s">
        <v>295</v>
      </c>
      <c r="L32" s="591"/>
    </row>
    <row r="33" spans="1:12" ht="15">
      <c r="A33" s="606">
        <v>1</v>
      </c>
      <c r="B33" s="607" t="s">
        <v>13</v>
      </c>
      <c r="C33" s="608" t="s">
        <v>54</v>
      </c>
      <c r="D33" s="608">
        <v>1970</v>
      </c>
      <c r="E33" s="609" t="s">
        <v>47</v>
      </c>
      <c r="F33" s="608" t="s">
        <v>23</v>
      </c>
      <c r="G33" s="609" t="s">
        <v>21</v>
      </c>
      <c r="H33" s="910">
        <v>4.91</v>
      </c>
      <c r="I33" s="611">
        <v>100</v>
      </c>
      <c r="J33" s="912">
        <f t="shared" si="0"/>
        <v>4.91</v>
      </c>
      <c r="K33" s="533" t="s">
        <v>295</v>
      </c>
      <c r="L33" s="591"/>
    </row>
    <row r="34" spans="1:12" ht="15">
      <c r="A34" s="606">
        <v>1</v>
      </c>
      <c r="B34" s="607" t="s">
        <v>160</v>
      </c>
      <c r="C34" s="608" t="s">
        <v>181</v>
      </c>
      <c r="D34" s="608">
        <v>1927</v>
      </c>
      <c r="E34" s="609" t="s">
        <v>47</v>
      </c>
      <c r="F34" s="608" t="s">
        <v>23</v>
      </c>
      <c r="G34" s="609" t="s">
        <v>189</v>
      </c>
      <c r="H34" s="910">
        <v>3</v>
      </c>
      <c r="I34" s="611">
        <v>100</v>
      </c>
      <c r="J34" s="912">
        <f t="shared" si="0"/>
        <v>3</v>
      </c>
      <c r="K34" s="533" t="s">
        <v>295</v>
      </c>
      <c r="L34" s="591"/>
    </row>
    <row r="35" spans="1:12" ht="15">
      <c r="A35" s="606">
        <v>1</v>
      </c>
      <c r="B35" s="607" t="s">
        <v>159</v>
      </c>
      <c r="C35" s="608" t="s">
        <v>181</v>
      </c>
      <c r="D35" s="608" t="s">
        <v>613</v>
      </c>
      <c r="E35" s="609" t="s">
        <v>47</v>
      </c>
      <c r="F35" s="608" t="s">
        <v>23</v>
      </c>
      <c r="G35" s="609" t="s">
        <v>187</v>
      </c>
      <c r="H35" s="910">
        <v>2.49</v>
      </c>
      <c r="I35" s="611">
        <v>100</v>
      </c>
      <c r="J35" s="912">
        <f t="shared" si="0"/>
        <v>2.49</v>
      </c>
      <c r="K35" s="533" t="s">
        <v>295</v>
      </c>
      <c r="L35" s="591"/>
    </row>
    <row r="36" spans="1:12" ht="15">
      <c r="A36" s="606">
        <v>1</v>
      </c>
      <c r="B36" s="607" t="s">
        <v>22</v>
      </c>
      <c r="C36" s="608" t="s">
        <v>181</v>
      </c>
      <c r="D36" s="608">
        <v>1905</v>
      </c>
      <c r="E36" s="609" t="s">
        <v>47</v>
      </c>
      <c r="F36" s="608" t="s">
        <v>23</v>
      </c>
      <c r="G36" s="609" t="s">
        <v>21</v>
      </c>
      <c r="H36" s="910">
        <v>7.9</v>
      </c>
      <c r="I36" s="611">
        <v>100</v>
      </c>
      <c r="J36" s="912">
        <f t="shared" si="0"/>
        <v>7.9</v>
      </c>
      <c r="K36" s="533" t="s">
        <v>295</v>
      </c>
      <c r="L36" s="591"/>
    </row>
    <row r="37" spans="1:12" ht="15">
      <c r="A37" s="606">
        <v>1</v>
      </c>
      <c r="B37" s="607" t="s">
        <v>38</v>
      </c>
      <c r="C37" s="608" t="s">
        <v>181</v>
      </c>
      <c r="D37" s="608" t="s">
        <v>614</v>
      </c>
      <c r="E37" s="609" t="s">
        <v>47</v>
      </c>
      <c r="F37" s="608" t="s">
        <v>23</v>
      </c>
      <c r="G37" s="609" t="s">
        <v>21</v>
      </c>
      <c r="H37" s="910">
        <v>34.56</v>
      </c>
      <c r="I37" s="611">
        <v>100</v>
      </c>
      <c r="J37" s="912">
        <f t="shared" si="0"/>
        <v>34.56</v>
      </c>
      <c r="K37" s="533" t="s">
        <v>295</v>
      </c>
      <c r="L37" s="591"/>
    </row>
    <row r="38" spans="1:12" ht="15">
      <c r="A38" s="606">
        <v>1</v>
      </c>
      <c r="B38" s="607" t="s">
        <v>161</v>
      </c>
      <c r="C38" s="608" t="s">
        <v>190</v>
      </c>
      <c r="D38" s="608">
        <v>1965</v>
      </c>
      <c r="E38" s="609" t="s">
        <v>47</v>
      </c>
      <c r="F38" s="608" t="s">
        <v>23</v>
      </c>
      <c r="G38" s="609" t="s">
        <v>24</v>
      </c>
      <c r="H38" s="910">
        <v>7.46</v>
      </c>
      <c r="I38" s="611">
        <v>100</v>
      </c>
      <c r="J38" s="912">
        <f t="shared" si="0"/>
        <v>7.46</v>
      </c>
      <c r="K38" s="533" t="s">
        <v>295</v>
      </c>
      <c r="L38" s="591"/>
    </row>
    <row r="39" spans="1:12" ht="15">
      <c r="A39" s="606">
        <v>1</v>
      </c>
      <c r="B39" s="607" t="s">
        <v>162</v>
      </c>
      <c r="C39" s="608" t="s">
        <v>190</v>
      </c>
      <c r="D39" s="608">
        <v>1963</v>
      </c>
      <c r="E39" s="609" t="s">
        <v>47</v>
      </c>
      <c r="F39" s="608" t="s">
        <v>23</v>
      </c>
      <c r="G39" s="609" t="s">
        <v>24</v>
      </c>
      <c r="H39" s="910">
        <v>16.65</v>
      </c>
      <c r="I39" s="611">
        <v>100</v>
      </c>
      <c r="J39" s="912">
        <f t="shared" si="0"/>
        <v>16.65</v>
      </c>
      <c r="K39" s="533" t="s">
        <v>295</v>
      </c>
      <c r="L39" s="591"/>
    </row>
    <row r="40" spans="1:12" ht="15">
      <c r="A40" s="606">
        <v>1</v>
      </c>
      <c r="B40" s="607" t="s">
        <v>144</v>
      </c>
      <c r="C40" s="608" t="s">
        <v>190</v>
      </c>
      <c r="D40" s="608">
        <v>1952</v>
      </c>
      <c r="E40" s="609" t="s">
        <v>47</v>
      </c>
      <c r="F40" s="608" t="s">
        <v>23</v>
      </c>
      <c r="G40" s="609" t="s">
        <v>20</v>
      </c>
      <c r="H40" s="910">
        <v>8.7</v>
      </c>
      <c r="I40" s="611">
        <v>100</v>
      </c>
      <c r="J40" s="912">
        <f t="shared" si="0"/>
        <v>8.7</v>
      </c>
      <c r="K40" s="533" t="s">
        <v>295</v>
      </c>
      <c r="L40" s="591"/>
    </row>
    <row r="41" spans="1:12" ht="15">
      <c r="A41" s="606">
        <v>1</v>
      </c>
      <c r="B41" s="607" t="s">
        <v>163</v>
      </c>
      <c r="C41" s="608" t="s">
        <v>190</v>
      </c>
      <c r="D41" s="608" t="s">
        <v>615</v>
      </c>
      <c r="E41" s="609" t="s">
        <v>47</v>
      </c>
      <c r="F41" s="608" t="s">
        <v>23</v>
      </c>
      <c r="G41" s="609" t="s">
        <v>21</v>
      </c>
      <c r="H41" s="910">
        <v>3.57</v>
      </c>
      <c r="I41" s="611">
        <v>100</v>
      </c>
      <c r="J41" s="912">
        <f t="shared" si="0"/>
        <v>3.57</v>
      </c>
      <c r="K41" s="533" t="s">
        <v>295</v>
      </c>
      <c r="L41" s="591"/>
    </row>
    <row r="42" spans="1:12" ht="15">
      <c r="A42" s="606">
        <v>1</v>
      </c>
      <c r="B42" s="607" t="s">
        <v>158</v>
      </c>
      <c r="C42" s="608" t="s">
        <v>190</v>
      </c>
      <c r="D42" s="608">
        <v>1953</v>
      </c>
      <c r="E42" s="609" t="s">
        <v>47</v>
      </c>
      <c r="F42" s="608" t="s">
        <v>23</v>
      </c>
      <c r="G42" s="609" t="s">
        <v>21</v>
      </c>
      <c r="H42" s="910">
        <v>7.52</v>
      </c>
      <c r="I42" s="611">
        <v>100</v>
      </c>
      <c r="J42" s="912">
        <f t="shared" si="0"/>
        <v>7.52</v>
      </c>
      <c r="K42" s="533" t="s">
        <v>295</v>
      </c>
      <c r="L42" s="591"/>
    </row>
    <row r="43" spans="1:12" ht="15">
      <c r="A43" s="606">
        <v>1</v>
      </c>
      <c r="B43" s="607" t="s">
        <v>277</v>
      </c>
      <c r="C43" s="608" t="s">
        <v>216</v>
      </c>
      <c r="D43" s="608">
        <v>2002</v>
      </c>
      <c r="E43" s="612" t="s">
        <v>47</v>
      </c>
      <c r="F43" s="608" t="s">
        <v>23</v>
      </c>
      <c r="G43" s="609" t="s">
        <v>187</v>
      </c>
      <c r="H43" s="910">
        <v>3.59</v>
      </c>
      <c r="I43" s="611">
        <v>100</v>
      </c>
      <c r="J43" s="912">
        <f t="shared" si="0"/>
        <v>3.59</v>
      </c>
      <c r="K43" s="533" t="s">
        <v>295</v>
      </c>
      <c r="L43" s="591"/>
    </row>
    <row r="44" spans="1:12" ht="15">
      <c r="A44" s="606">
        <v>1</v>
      </c>
      <c r="B44" s="607" t="s">
        <v>297</v>
      </c>
      <c r="C44" s="608" t="s">
        <v>181</v>
      </c>
      <c r="D44" s="608" t="s">
        <v>616</v>
      </c>
      <c r="E44" s="609" t="s">
        <v>191</v>
      </c>
      <c r="F44" s="608" t="s">
        <v>23</v>
      </c>
      <c r="G44" s="609" t="s">
        <v>187</v>
      </c>
      <c r="H44" s="910">
        <v>5.08</v>
      </c>
      <c r="I44" s="611">
        <v>86</v>
      </c>
      <c r="J44" s="911">
        <v>5.08</v>
      </c>
      <c r="K44" s="533" t="s">
        <v>295</v>
      </c>
      <c r="L44" s="591"/>
    </row>
    <row r="45" spans="1:12" ht="15">
      <c r="A45" s="606">
        <v>1</v>
      </c>
      <c r="B45" s="607" t="s">
        <v>298</v>
      </c>
      <c r="C45" s="608" t="s">
        <v>181</v>
      </c>
      <c r="D45" s="608">
        <v>1935</v>
      </c>
      <c r="E45" s="609" t="s">
        <v>191</v>
      </c>
      <c r="F45" s="608" t="s">
        <v>23</v>
      </c>
      <c r="G45" s="609" t="s">
        <v>187</v>
      </c>
      <c r="H45" s="910">
        <v>4.01</v>
      </c>
      <c r="I45" s="611">
        <v>86</v>
      </c>
      <c r="J45" s="911">
        <v>4.01</v>
      </c>
      <c r="K45" s="533" t="s">
        <v>295</v>
      </c>
      <c r="L45" s="591"/>
    </row>
    <row r="46" spans="1:12" ht="15">
      <c r="A46" s="606">
        <v>1</v>
      </c>
      <c r="B46" s="607" t="s">
        <v>299</v>
      </c>
      <c r="C46" s="608" t="s">
        <v>300</v>
      </c>
      <c r="D46" s="608" t="s">
        <v>617</v>
      </c>
      <c r="E46" s="609" t="s">
        <v>191</v>
      </c>
      <c r="F46" s="608" t="s">
        <v>23</v>
      </c>
      <c r="G46" s="609" t="s">
        <v>20</v>
      </c>
      <c r="H46" s="910">
        <v>8.67</v>
      </c>
      <c r="I46" s="611">
        <v>86</v>
      </c>
      <c r="J46" s="911">
        <v>8.67</v>
      </c>
      <c r="K46" s="533" t="s">
        <v>295</v>
      </c>
      <c r="L46" s="591"/>
    </row>
    <row r="47" spans="1:12" ht="15">
      <c r="A47" s="606">
        <v>1</v>
      </c>
      <c r="B47" s="607" t="s">
        <v>301</v>
      </c>
      <c r="C47" s="608" t="s">
        <v>302</v>
      </c>
      <c r="D47" s="608">
        <v>2003</v>
      </c>
      <c r="E47" s="609" t="s">
        <v>47</v>
      </c>
      <c r="F47" s="608" t="s">
        <v>23</v>
      </c>
      <c r="G47" s="609" t="s">
        <v>187</v>
      </c>
      <c r="H47" s="910">
        <v>2.645179341724512</v>
      </c>
      <c r="I47" s="610">
        <v>100</v>
      </c>
      <c r="J47" s="912">
        <f aca="true" t="shared" si="1" ref="J47:J81">+H47*I47%</f>
        <v>2.645179341724512</v>
      </c>
      <c r="K47" s="533" t="s">
        <v>295</v>
      </c>
      <c r="L47" s="591"/>
    </row>
    <row r="48" spans="1:12" ht="15">
      <c r="A48" s="606">
        <v>1</v>
      </c>
      <c r="B48" s="607" t="s">
        <v>303</v>
      </c>
      <c r="C48" s="608" t="s">
        <v>304</v>
      </c>
      <c r="D48" s="608">
        <v>1922</v>
      </c>
      <c r="E48" s="609" t="s">
        <v>47</v>
      </c>
      <c r="F48" s="608" t="s">
        <v>23</v>
      </c>
      <c r="G48" s="609" t="s">
        <v>187</v>
      </c>
      <c r="H48" s="910">
        <v>2.904318470988333</v>
      </c>
      <c r="I48" s="610">
        <v>100</v>
      </c>
      <c r="J48" s="912">
        <f t="shared" si="1"/>
        <v>2.904318470988333</v>
      </c>
      <c r="K48" s="533" t="s">
        <v>295</v>
      </c>
      <c r="L48" s="591"/>
    </row>
    <row r="49" spans="1:12" ht="15">
      <c r="A49" s="606">
        <v>1</v>
      </c>
      <c r="B49" s="607" t="s">
        <v>568</v>
      </c>
      <c r="C49" s="608" t="s">
        <v>304</v>
      </c>
      <c r="D49" s="608">
        <v>1918</v>
      </c>
      <c r="E49" s="609" t="s">
        <v>47</v>
      </c>
      <c r="F49" s="608" t="s">
        <v>23</v>
      </c>
      <c r="G49" s="609" t="s">
        <v>187</v>
      </c>
      <c r="H49" s="910">
        <v>0.3445801575748869</v>
      </c>
      <c r="I49" s="610">
        <v>100</v>
      </c>
      <c r="J49" s="912">
        <f t="shared" si="1"/>
        <v>0.3445801575748869</v>
      </c>
      <c r="K49" s="533" t="s">
        <v>295</v>
      </c>
      <c r="L49" s="591"/>
    </row>
    <row r="50" spans="1:12" ht="15">
      <c r="A50" s="606">
        <v>1</v>
      </c>
      <c r="B50" s="607" t="s">
        <v>305</v>
      </c>
      <c r="C50" s="608" t="s">
        <v>306</v>
      </c>
      <c r="D50" s="608" t="s">
        <v>618</v>
      </c>
      <c r="E50" s="609" t="s">
        <v>47</v>
      </c>
      <c r="F50" s="608" t="s">
        <v>23</v>
      </c>
      <c r="G50" s="609" t="s">
        <v>187</v>
      </c>
      <c r="H50" s="910">
        <v>2.8247723366396995</v>
      </c>
      <c r="I50" s="610">
        <v>100</v>
      </c>
      <c r="J50" s="912">
        <f t="shared" si="1"/>
        <v>2.8247723366396995</v>
      </c>
      <c r="K50" s="533" t="s">
        <v>295</v>
      </c>
      <c r="L50" s="591"/>
    </row>
    <row r="51" spans="1:12" ht="15">
      <c r="A51" s="606">
        <v>1</v>
      </c>
      <c r="B51" s="607" t="s">
        <v>307</v>
      </c>
      <c r="C51" s="608" t="s">
        <v>304</v>
      </c>
      <c r="D51" s="608">
        <v>1920</v>
      </c>
      <c r="E51" s="609" t="s">
        <v>47</v>
      </c>
      <c r="F51" s="608" t="s">
        <v>23</v>
      </c>
      <c r="G51" s="609" t="s">
        <v>187</v>
      </c>
      <c r="H51" s="910">
        <v>0.3445801575748869</v>
      </c>
      <c r="I51" s="610">
        <v>100</v>
      </c>
      <c r="J51" s="912">
        <f t="shared" si="1"/>
        <v>0.3445801575748869</v>
      </c>
      <c r="K51" s="533" t="s">
        <v>295</v>
      </c>
      <c r="L51" s="591"/>
    </row>
    <row r="52" spans="1:12" ht="15">
      <c r="A52" s="606">
        <v>1</v>
      </c>
      <c r="B52" s="607" t="s">
        <v>308</v>
      </c>
      <c r="C52" s="608" t="s">
        <v>139</v>
      </c>
      <c r="D52" s="608" t="s">
        <v>619</v>
      </c>
      <c r="E52" s="609" t="s">
        <v>47</v>
      </c>
      <c r="F52" s="608" t="s">
        <v>394</v>
      </c>
      <c r="G52" s="609" t="s">
        <v>187</v>
      </c>
      <c r="H52" s="910">
        <v>0.2927919552930177</v>
      </c>
      <c r="I52" s="610">
        <v>100</v>
      </c>
      <c r="J52" s="912">
        <f t="shared" si="1"/>
        <v>0.2927919552930177</v>
      </c>
      <c r="K52" s="533" t="s">
        <v>295</v>
      </c>
      <c r="L52" s="591"/>
    </row>
    <row r="53" spans="1:12" ht="15">
      <c r="A53" s="606">
        <v>1</v>
      </c>
      <c r="B53" s="607" t="s">
        <v>309</v>
      </c>
      <c r="C53" s="608" t="s">
        <v>306</v>
      </c>
      <c r="D53" s="608" t="s">
        <v>620</v>
      </c>
      <c r="E53" s="609" t="s">
        <v>47</v>
      </c>
      <c r="F53" s="608" t="s">
        <v>23</v>
      </c>
      <c r="G53" s="609" t="s">
        <v>187</v>
      </c>
      <c r="H53" s="910">
        <v>3.4092079924961896</v>
      </c>
      <c r="I53" s="610">
        <v>100</v>
      </c>
      <c r="J53" s="912">
        <f t="shared" si="1"/>
        <v>3.4092079924961896</v>
      </c>
      <c r="K53" s="533" t="s">
        <v>295</v>
      </c>
      <c r="L53" s="591"/>
    </row>
    <row r="54" spans="1:12" ht="15">
      <c r="A54" s="606">
        <v>1</v>
      </c>
      <c r="B54" s="607" t="s">
        <v>310</v>
      </c>
      <c r="C54" s="608" t="s">
        <v>304</v>
      </c>
      <c r="D54" s="608">
        <v>1938</v>
      </c>
      <c r="E54" s="609" t="s">
        <v>47</v>
      </c>
      <c r="F54" s="608" t="s">
        <v>23</v>
      </c>
      <c r="G54" s="609" t="s">
        <v>187</v>
      </c>
      <c r="H54" s="910">
        <v>1.4275463670959603</v>
      </c>
      <c r="I54" s="610">
        <v>100</v>
      </c>
      <c r="J54" s="912">
        <f t="shared" si="1"/>
        <v>1.4275463670959603</v>
      </c>
      <c r="K54" s="533" t="s">
        <v>295</v>
      </c>
      <c r="L54" s="591"/>
    </row>
    <row r="55" spans="1:12" ht="15">
      <c r="A55" s="606">
        <v>1</v>
      </c>
      <c r="B55" s="607" t="s">
        <v>311</v>
      </c>
      <c r="C55" s="608" t="s">
        <v>139</v>
      </c>
      <c r="D55" s="608" t="s">
        <v>621</v>
      </c>
      <c r="E55" s="609" t="s">
        <v>47</v>
      </c>
      <c r="F55" s="608" t="s">
        <v>394</v>
      </c>
      <c r="G55" s="609" t="s">
        <v>187</v>
      </c>
      <c r="H55" s="910">
        <v>0.141154008391981</v>
      </c>
      <c r="I55" s="610">
        <v>100</v>
      </c>
      <c r="J55" s="912">
        <f t="shared" si="1"/>
        <v>0.141154008391981</v>
      </c>
      <c r="K55" s="533" t="s">
        <v>295</v>
      </c>
      <c r="L55" s="591"/>
    </row>
    <row r="56" spans="1:12" ht="15">
      <c r="A56" s="606">
        <v>1</v>
      </c>
      <c r="B56" s="607" t="s">
        <v>312</v>
      </c>
      <c r="C56" s="608" t="s">
        <v>190</v>
      </c>
      <c r="D56" s="608">
        <v>1954</v>
      </c>
      <c r="E56" s="609" t="s">
        <v>313</v>
      </c>
      <c r="F56" s="608" t="s">
        <v>23</v>
      </c>
      <c r="G56" s="609" t="s">
        <v>20</v>
      </c>
      <c r="H56" s="910">
        <v>20.55</v>
      </c>
      <c r="I56" s="610">
        <v>100</v>
      </c>
      <c r="J56" s="912">
        <f t="shared" si="1"/>
        <v>20.55</v>
      </c>
      <c r="K56" s="533" t="s">
        <v>295</v>
      </c>
      <c r="L56" s="591"/>
    </row>
    <row r="57" spans="1:12" ht="15">
      <c r="A57" s="606">
        <v>1</v>
      </c>
      <c r="B57" s="607" t="s">
        <v>314</v>
      </c>
      <c r="C57" s="608" t="s">
        <v>190</v>
      </c>
      <c r="D57" s="608">
        <v>1997</v>
      </c>
      <c r="E57" s="609" t="s">
        <v>313</v>
      </c>
      <c r="F57" s="608" t="s">
        <v>23</v>
      </c>
      <c r="G57" s="609" t="s">
        <v>21</v>
      </c>
      <c r="H57" s="910">
        <v>10.92</v>
      </c>
      <c r="I57" s="610">
        <v>100</v>
      </c>
      <c r="J57" s="912">
        <f t="shared" si="1"/>
        <v>10.92</v>
      </c>
      <c r="K57" s="533" t="s">
        <v>295</v>
      </c>
      <c r="L57" s="591"/>
    </row>
    <row r="58" spans="1:12" ht="15">
      <c r="A58" s="606">
        <v>1</v>
      </c>
      <c r="B58" s="607" t="s">
        <v>315</v>
      </c>
      <c r="C58" s="608" t="s">
        <v>190</v>
      </c>
      <c r="D58" s="608">
        <v>1988</v>
      </c>
      <c r="E58" s="609" t="s">
        <v>313</v>
      </c>
      <c r="F58" s="608" t="s">
        <v>23</v>
      </c>
      <c r="G58" s="609" t="s">
        <v>21</v>
      </c>
      <c r="H58" s="910">
        <v>10.23</v>
      </c>
      <c r="I58" s="610">
        <v>100</v>
      </c>
      <c r="J58" s="912">
        <f t="shared" si="1"/>
        <v>10.23</v>
      </c>
      <c r="K58" s="533" t="s">
        <v>295</v>
      </c>
      <c r="L58" s="591"/>
    </row>
    <row r="59" spans="1:12" ht="15">
      <c r="A59" s="606">
        <v>1</v>
      </c>
      <c r="B59" s="607" t="s">
        <v>316</v>
      </c>
      <c r="C59" s="608" t="s">
        <v>190</v>
      </c>
      <c r="D59" s="608">
        <v>1954</v>
      </c>
      <c r="E59" s="609" t="s">
        <v>313</v>
      </c>
      <c r="F59" s="608" t="s">
        <v>23</v>
      </c>
      <c r="G59" s="609" t="s">
        <v>21</v>
      </c>
      <c r="H59" s="910">
        <v>11.59</v>
      </c>
      <c r="I59" s="610">
        <v>100</v>
      </c>
      <c r="J59" s="912">
        <f t="shared" si="1"/>
        <v>11.59</v>
      </c>
      <c r="K59" s="533" t="s">
        <v>295</v>
      </c>
      <c r="L59" s="591"/>
    </row>
    <row r="60" spans="1:12" ht="15">
      <c r="A60" s="606">
        <v>1</v>
      </c>
      <c r="B60" s="607" t="s">
        <v>317</v>
      </c>
      <c r="C60" s="608" t="s">
        <v>190</v>
      </c>
      <c r="D60" s="608">
        <v>1988</v>
      </c>
      <c r="E60" s="609" t="s">
        <v>313</v>
      </c>
      <c r="F60" s="608" t="s">
        <v>23</v>
      </c>
      <c r="G60" s="609" t="s">
        <v>21</v>
      </c>
      <c r="H60" s="910">
        <v>18.01</v>
      </c>
      <c r="I60" s="610">
        <v>100</v>
      </c>
      <c r="J60" s="912">
        <f t="shared" si="1"/>
        <v>18.01</v>
      </c>
      <c r="K60" s="533" t="s">
        <v>295</v>
      </c>
      <c r="L60" s="591"/>
    </row>
    <row r="61" spans="1:12" ht="15">
      <c r="A61" s="606">
        <v>1</v>
      </c>
      <c r="B61" s="607" t="s">
        <v>318</v>
      </c>
      <c r="C61" s="608" t="s">
        <v>190</v>
      </c>
      <c r="D61" s="608">
        <v>1954</v>
      </c>
      <c r="E61" s="609" t="s">
        <v>313</v>
      </c>
      <c r="F61" s="608" t="s">
        <v>23</v>
      </c>
      <c r="G61" s="609" t="s">
        <v>21</v>
      </c>
      <c r="H61" s="910">
        <v>10.09</v>
      </c>
      <c r="I61" s="610">
        <v>100</v>
      </c>
      <c r="J61" s="912">
        <f t="shared" si="1"/>
        <v>10.09</v>
      </c>
      <c r="K61" s="533" t="s">
        <v>295</v>
      </c>
      <c r="L61" s="591"/>
    </row>
    <row r="62" spans="1:12" ht="15">
      <c r="A62" s="606">
        <v>1</v>
      </c>
      <c r="B62" s="607" t="s">
        <v>319</v>
      </c>
      <c r="C62" s="608" t="s">
        <v>139</v>
      </c>
      <c r="D62" s="608">
        <v>1954</v>
      </c>
      <c r="E62" s="609" t="s">
        <v>313</v>
      </c>
      <c r="F62" s="608" t="s">
        <v>394</v>
      </c>
      <c r="G62" s="609" t="s">
        <v>187</v>
      </c>
      <c r="H62" s="910">
        <v>0.18939930338422084</v>
      </c>
      <c r="I62" s="610">
        <v>100</v>
      </c>
      <c r="J62" s="912">
        <f t="shared" si="1"/>
        <v>0.18939930338422084</v>
      </c>
      <c r="K62" s="533" t="s">
        <v>295</v>
      </c>
      <c r="L62" s="591"/>
    </row>
    <row r="63" spans="1:12" ht="15">
      <c r="A63" s="606">
        <v>1</v>
      </c>
      <c r="B63" s="607" t="s">
        <v>320</v>
      </c>
      <c r="C63" s="608" t="s">
        <v>139</v>
      </c>
      <c r="D63" s="608" t="s">
        <v>622</v>
      </c>
      <c r="E63" s="609" t="s">
        <v>313</v>
      </c>
      <c r="F63" s="608" t="s">
        <v>23</v>
      </c>
      <c r="G63" s="609" t="s">
        <v>187</v>
      </c>
      <c r="H63" s="910">
        <v>1.392480785562407</v>
      </c>
      <c r="I63" s="610">
        <v>100</v>
      </c>
      <c r="J63" s="912">
        <f t="shared" si="1"/>
        <v>1.392480785562407</v>
      </c>
      <c r="K63" s="533" t="s">
        <v>295</v>
      </c>
      <c r="L63" s="591"/>
    </row>
    <row r="64" spans="1:12" ht="15">
      <c r="A64" s="606">
        <v>1</v>
      </c>
      <c r="B64" s="607" t="s">
        <v>321</v>
      </c>
      <c r="C64" s="608" t="s">
        <v>139</v>
      </c>
      <c r="D64" s="608" t="s">
        <v>623</v>
      </c>
      <c r="E64" s="609" t="s">
        <v>313</v>
      </c>
      <c r="F64" s="608" t="s">
        <v>23</v>
      </c>
      <c r="G64" s="609" t="s">
        <v>187</v>
      </c>
      <c r="H64" s="910">
        <v>0.898</v>
      </c>
      <c r="I64" s="610">
        <v>100</v>
      </c>
      <c r="J64" s="912">
        <f t="shared" si="1"/>
        <v>0.898</v>
      </c>
      <c r="K64" s="533" t="s">
        <v>295</v>
      </c>
      <c r="L64" s="591"/>
    </row>
    <row r="65" spans="1:12" ht="15">
      <c r="A65" s="606">
        <v>1</v>
      </c>
      <c r="B65" s="607" t="s">
        <v>322</v>
      </c>
      <c r="C65" s="608" t="s">
        <v>139</v>
      </c>
      <c r="D65" s="608">
        <v>1916</v>
      </c>
      <c r="E65" s="609" t="s">
        <v>313</v>
      </c>
      <c r="F65" s="608" t="s">
        <v>394</v>
      </c>
      <c r="G65" s="609" t="s">
        <v>187</v>
      </c>
      <c r="H65" s="910">
        <v>0.13619639763047364</v>
      </c>
      <c r="I65" s="610">
        <v>100</v>
      </c>
      <c r="J65" s="912">
        <f t="shared" si="1"/>
        <v>0.13619639763047364</v>
      </c>
      <c r="K65" s="533" t="s">
        <v>295</v>
      </c>
      <c r="L65" s="591"/>
    </row>
    <row r="66" spans="1:12" ht="15">
      <c r="A66" s="606">
        <v>1</v>
      </c>
      <c r="B66" s="607" t="s">
        <v>323</v>
      </c>
      <c r="C66" s="608" t="s">
        <v>324</v>
      </c>
      <c r="D66" s="608" t="s">
        <v>616</v>
      </c>
      <c r="E66" s="609" t="s">
        <v>313</v>
      </c>
      <c r="F66" s="608" t="s">
        <v>624</v>
      </c>
      <c r="G66" s="609" t="s">
        <v>187</v>
      </c>
      <c r="H66" s="910">
        <v>0.21360080701078346</v>
      </c>
      <c r="I66" s="610">
        <v>100</v>
      </c>
      <c r="J66" s="912">
        <f t="shared" si="1"/>
        <v>0.21360080701078346</v>
      </c>
      <c r="K66" s="533" t="s">
        <v>295</v>
      </c>
      <c r="L66" s="591"/>
    </row>
    <row r="67" spans="1:12" ht="15">
      <c r="A67" s="606">
        <v>1</v>
      </c>
      <c r="B67" s="607" t="s">
        <v>325</v>
      </c>
      <c r="C67" s="608" t="s">
        <v>139</v>
      </c>
      <c r="D67" s="608" t="s">
        <v>625</v>
      </c>
      <c r="E67" s="609" t="s">
        <v>313</v>
      </c>
      <c r="F67" s="608" t="s">
        <v>23</v>
      </c>
      <c r="G67" s="609" t="s">
        <v>187</v>
      </c>
      <c r="H67" s="910">
        <v>1.67492069222973</v>
      </c>
      <c r="I67" s="610">
        <v>100</v>
      </c>
      <c r="J67" s="912">
        <f t="shared" si="1"/>
        <v>1.67492069222973</v>
      </c>
      <c r="K67" s="533" t="s">
        <v>295</v>
      </c>
      <c r="L67" s="591"/>
    </row>
    <row r="68" spans="1:12" ht="15">
      <c r="A68" s="606">
        <v>1</v>
      </c>
      <c r="B68" s="607" t="s">
        <v>326</v>
      </c>
      <c r="C68" s="608" t="s">
        <v>139</v>
      </c>
      <c r="D68" s="608">
        <v>1942</v>
      </c>
      <c r="E68" s="609" t="s">
        <v>313</v>
      </c>
      <c r="F68" s="608" t="s">
        <v>394</v>
      </c>
      <c r="G68" s="609" t="s">
        <v>187</v>
      </c>
      <c r="H68" s="910">
        <v>0.3275249983374075</v>
      </c>
      <c r="I68" s="610">
        <v>100</v>
      </c>
      <c r="J68" s="912">
        <f t="shared" si="1"/>
        <v>0.3275249983374075</v>
      </c>
      <c r="K68" s="533" t="s">
        <v>295</v>
      </c>
      <c r="L68" s="591"/>
    </row>
    <row r="69" spans="1:12" ht="15">
      <c r="A69" s="606">
        <v>1</v>
      </c>
      <c r="B69" s="607" t="s">
        <v>327</v>
      </c>
      <c r="C69" s="608" t="s">
        <v>324</v>
      </c>
      <c r="D69" s="608" t="s">
        <v>616</v>
      </c>
      <c r="E69" s="609" t="s">
        <v>313</v>
      </c>
      <c r="F69" s="608" t="s">
        <v>624</v>
      </c>
      <c r="G69" s="609" t="s">
        <v>187</v>
      </c>
      <c r="H69" s="910">
        <v>0.314828900155645</v>
      </c>
      <c r="I69" s="610">
        <v>100</v>
      </c>
      <c r="J69" s="912">
        <f t="shared" si="1"/>
        <v>0.314828900155645</v>
      </c>
      <c r="K69" s="533" t="s">
        <v>295</v>
      </c>
      <c r="L69" s="591"/>
    </row>
    <row r="70" spans="1:12" ht="15">
      <c r="A70" s="606">
        <v>1</v>
      </c>
      <c r="B70" s="607" t="s">
        <v>328</v>
      </c>
      <c r="C70" s="608" t="s">
        <v>324</v>
      </c>
      <c r="D70" s="608" t="s">
        <v>626</v>
      </c>
      <c r="E70" s="609" t="s">
        <v>313</v>
      </c>
      <c r="F70" s="608" t="s">
        <v>624</v>
      </c>
      <c r="G70" s="609" t="s">
        <v>187</v>
      </c>
      <c r="H70" s="910">
        <v>0.42471481860381793</v>
      </c>
      <c r="I70" s="610">
        <v>100</v>
      </c>
      <c r="J70" s="912">
        <f t="shared" si="1"/>
        <v>0.42471481860381793</v>
      </c>
      <c r="K70" s="533" t="s">
        <v>295</v>
      </c>
      <c r="L70" s="591"/>
    </row>
    <row r="71" spans="1:12" ht="15">
      <c r="A71" s="606">
        <v>1</v>
      </c>
      <c r="B71" s="607" t="s">
        <v>329</v>
      </c>
      <c r="C71" s="608" t="s">
        <v>190</v>
      </c>
      <c r="D71" s="608">
        <v>1922</v>
      </c>
      <c r="E71" s="609" t="s">
        <v>313</v>
      </c>
      <c r="F71" s="608" t="s">
        <v>394</v>
      </c>
      <c r="G71" s="609" t="s">
        <v>187</v>
      </c>
      <c r="H71" s="910">
        <v>0.4884718747159664</v>
      </c>
      <c r="I71" s="610">
        <v>100</v>
      </c>
      <c r="J71" s="912">
        <f t="shared" si="1"/>
        <v>0.4884718747159664</v>
      </c>
      <c r="K71" s="533" t="s">
        <v>295</v>
      </c>
      <c r="L71" s="591"/>
    </row>
    <row r="72" spans="1:12" ht="15">
      <c r="A72" s="606">
        <v>1</v>
      </c>
      <c r="B72" s="607" t="s">
        <v>330</v>
      </c>
      <c r="C72" s="608" t="s">
        <v>139</v>
      </c>
      <c r="D72" s="608">
        <v>1901</v>
      </c>
      <c r="E72" s="609" t="s">
        <v>313</v>
      </c>
      <c r="F72" s="608" t="s">
        <v>394</v>
      </c>
      <c r="G72" s="609" t="s">
        <v>187</v>
      </c>
      <c r="H72" s="910">
        <v>0.660887651161612</v>
      </c>
      <c r="I72" s="610">
        <v>100</v>
      </c>
      <c r="J72" s="912">
        <f t="shared" si="1"/>
        <v>0.660887651161612</v>
      </c>
      <c r="K72" s="533" t="s">
        <v>295</v>
      </c>
      <c r="L72" s="591"/>
    </row>
    <row r="73" spans="1:12" ht="15">
      <c r="A73" s="606">
        <v>1</v>
      </c>
      <c r="B73" s="607" t="s">
        <v>331</v>
      </c>
      <c r="C73" s="608" t="s">
        <v>324</v>
      </c>
      <c r="D73" s="608" t="s">
        <v>616</v>
      </c>
      <c r="E73" s="609" t="s">
        <v>313</v>
      </c>
      <c r="F73" s="608" t="s">
        <v>624</v>
      </c>
      <c r="G73" s="609" t="s">
        <v>187</v>
      </c>
      <c r="H73" s="910">
        <v>0.5425069924156682</v>
      </c>
      <c r="I73" s="610">
        <v>100</v>
      </c>
      <c r="J73" s="912">
        <f t="shared" si="1"/>
        <v>0.5425069924156682</v>
      </c>
      <c r="K73" s="533" t="s">
        <v>295</v>
      </c>
      <c r="L73" s="591"/>
    </row>
    <row r="74" spans="1:12" ht="15">
      <c r="A74" s="606">
        <v>1</v>
      </c>
      <c r="B74" s="607" t="s">
        <v>332</v>
      </c>
      <c r="C74" s="608" t="s">
        <v>139</v>
      </c>
      <c r="D74" s="608">
        <v>1905</v>
      </c>
      <c r="E74" s="609" t="s">
        <v>313</v>
      </c>
      <c r="F74" s="608" t="s">
        <v>394</v>
      </c>
      <c r="G74" s="609" t="s">
        <v>187</v>
      </c>
      <c r="H74" s="910">
        <v>0.20442806703246383</v>
      </c>
      <c r="I74" s="610">
        <v>100</v>
      </c>
      <c r="J74" s="912">
        <f t="shared" si="1"/>
        <v>0.20442806703246383</v>
      </c>
      <c r="K74" s="533" t="s">
        <v>295</v>
      </c>
      <c r="L74" s="591"/>
    </row>
    <row r="75" spans="1:12" ht="15">
      <c r="A75" s="606">
        <v>1</v>
      </c>
      <c r="B75" s="607" t="s">
        <v>333</v>
      </c>
      <c r="C75" s="608" t="s">
        <v>324</v>
      </c>
      <c r="D75" s="608" t="s">
        <v>616</v>
      </c>
      <c r="E75" s="609" t="s">
        <v>313</v>
      </c>
      <c r="F75" s="608" t="s">
        <v>624</v>
      </c>
      <c r="G75" s="609" t="s">
        <v>187</v>
      </c>
      <c r="H75" s="910">
        <v>0.29517046527976976</v>
      </c>
      <c r="I75" s="610">
        <v>100</v>
      </c>
      <c r="J75" s="912">
        <f t="shared" si="1"/>
        <v>0.29517046527976976</v>
      </c>
      <c r="K75" s="533" t="s">
        <v>295</v>
      </c>
      <c r="L75" s="591"/>
    </row>
    <row r="76" spans="1:12" ht="15">
      <c r="A76" s="606">
        <v>1</v>
      </c>
      <c r="B76" s="607" t="s">
        <v>334</v>
      </c>
      <c r="C76" s="608" t="s">
        <v>139</v>
      </c>
      <c r="D76" s="608" t="s">
        <v>627</v>
      </c>
      <c r="E76" s="609" t="s">
        <v>313</v>
      </c>
      <c r="F76" s="608" t="s">
        <v>23</v>
      </c>
      <c r="G76" s="609" t="s">
        <v>187</v>
      </c>
      <c r="H76" s="910">
        <v>2.3857631001253807</v>
      </c>
      <c r="I76" s="610">
        <v>100</v>
      </c>
      <c r="J76" s="912">
        <f t="shared" si="1"/>
        <v>2.3857631001253807</v>
      </c>
      <c r="K76" s="533" t="s">
        <v>295</v>
      </c>
      <c r="L76" s="591"/>
    </row>
    <row r="77" spans="1:12" ht="15">
      <c r="A77" s="606">
        <v>1</v>
      </c>
      <c r="B77" s="607" t="s">
        <v>335</v>
      </c>
      <c r="C77" s="608" t="s">
        <v>139</v>
      </c>
      <c r="D77" s="608">
        <v>1957</v>
      </c>
      <c r="E77" s="609" t="s">
        <v>313</v>
      </c>
      <c r="F77" s="608" t="s">
        <v>394</v>
      </c>
      <c r="G77" s="609" t="s">
        <v>187</v>
      </c>
      <c r="H77" s="910">
        <v>0.19253112159715813</v>
      </c>
      <c r="I77" s="610">
        <v>100</v>
      </c>
      <c r="J77" s="912">
        <f t="shared" si="1"/>
        <v>0.19253112159715813</v>
      </c>
      <c r="K77" s="533" t="s">
        <v>295</v>
      </c>
      <c r="L77" s="591"/>
    </row>
    <row r="78" spans="1:12" ht="15">
      <c r="A78" s="606">
        <v>1</v>
      </c>
      <c r="B78" s="607" t="s">
        <v>336</v>
      </c>
      <c r="C78" s="608" t="s">
        <v>190</v>
      </c>
      <c r="D78" s="608">
        <v>1906</v>
      </c>
      <c r="E78" s="609" t="s">
        <v>313</v>
      </c>
      <c r="F78" s="608" t="s">
        <v>394</v>
      </c>
      <c r="G78" s="609" t="s">
        <v>187</v>
      </c>
      <c r="H78" s="910">
        <v>0.282</v>
      </c>
      <c r="I78" s="610">
        <v>100</v>
      </c>
      <c r="J78" s="912">
        <f t="shared" si="1"/>
        <v>0.282</v>
      </c>
      <c r="K78" s="533" t="s">
        <v>295</v>
      </c>
      <c r="L78" s="591"/>
    </row>
    <row r="79" spans="1:12" ht="15">
      <c r="A79" s="606">
        <v>1</v>
      </c>
      <c r="B79" s="607" t="s">
        <v>514</v>
      </c>
      <c r="C79" s="608" t="s">
        <v>515</v>
      </c>
      <c r="D79" s="608">
        <v>2017</v>
      </c>
      <c r="E79" s="609" t="s">
        <v>47</v>
      </c>
      <c r="F79" s="608" t="s">
        <v>23</v>
      </c>
      <c r="G79" s="609" t="s">
        <v>187</v>
      </c>
      <c r="H79" s="910">
        <v>4.238</v>
      </c>
      <c r="I79" s="610">
        <v>100</v>
      </c>
      <c r="J79" s="912">
        <f t="shared" si="1"/>
        <v>4.238</v>
      </c>
      <c r="K79" s="533" t="s">
        <v>295</v>
      </c>
      <c r="L79" s="591"/>
    </row>
    <row r="80" spans="1:12" ht="15">
      <c r="A80" s="606">
        <v>1</v>
      </c>
      <c r="B80" s="607" t="s">
        <v>535</v>
      </c>
      <c r="C80" s="608" t="s">
        <v>306</v>
      </c>
      <c r="D80" s="608">
        <v>2010</v>
      </c>
      <c r="E80" s="609" t="s">
        <v>47</v>
      </c>
      <c r="F80" s="608" t="s">
        <v>23</v>
      </c>
      <c r="G80" s="609" t="s">
        <v>187</v>
      </c>
      <c r="H80" s="910">
        <v>4.758</v>
      </c>
      <c r="I80" s="610">
        <v>100</v>
      </c>
      <c r="J80" s="912">
        <f t="shared" si="1"/>
        <v>4.758</v>
      </c>
      <c r="K80" s="533" t="s">
        <v>295</v>
      </c>
      <c r="L80" s="591"/>
    </row>
    <row r="81" spans="1:12" ht="15">
      <c r="A81" s="606">
        <v>1</v>
      </c>
      <c r="B81" s="607" t="s">
        <v>569</v>
      </c>
      <c r="C81" s="608" t="s">
        <v>306</v>
      </c>
      <c r="D81" s="608">
        <v>2017</v>
      </c>
      <c r="E81" s="609" t="s">
        <v>47</v>
      </c>
      <c r="F81" s="608" t="s">
        <v>628</v>
      </c>
      <c r="G81" s="609" t="s">
        <v>187</v>
      </c>
      <c r="H81" s="910">
        <v>0.17</v>
      </c>
      <c r="I81" s="610">
        <v>100</v>
      </c>
      <c r="J81" s="912">
        <f t="shared" si="1"/>
        <v>0.17</v>
      </c>
      <c r="K81" s="533" t="s">
        <v>295</v>
      </c>
      <c r="L81" s="591"/>
    </row>
    <row r="82" spans="1:12" ht="15">
      <c r="A82" s="606">
        <v>1</v>
      </c>
      <c r="B82" s="607" t="s">
        <v>536</v>
      </c>
      <c r="C82" s="608" t="s">
        <v>550</v>
      </c>
      <c r="D82" s="608">
        <v>2010</v>
      </c>
      <c r="E82" s="609" t="s">
        <v>551</v>
      </c>
      <c r="F82" s="608" t="s">
        <v>624</v>
      </c>
      <c r="G82" s="609" t="s">
        <v>187</v>
      </c>
      <c r="H82" s="910">
        <v>0.14209999999999998</v>
      </c>
      <c r="I82" s="610">
        <v>72.93</v>
      </c>
      <c r="J82" s="911">
        <v>0.14209999999999998</v>
      </c>
      <c r="K82" s="533" t="s">
        <v>295</v>
      </c>
      <c r="L82" s="591"/>
    </row>
    <row r="83" spans="1:12" ht="15">
      <c r="A83" s="606">
        <v>1</v>
      </c>
      <c r="B83" s="607" t="s">
        <v>537</v>
      </c>
      <c r="C83" s="608" t="s">
        <v>550</v>
      </c>
      <c r="D83" s="608">
        <v>2011</v>
      </c>
      <c r="E83" s="609" t="s">
        <v>551</v>
      </c>
      <c r="F83" s="608" t="s">
        <v>624</v>
      </c>
      <c r="G83" s="609" t="s">
        <v>187</v>
      </c>
      <c r="H83" s="910">
        <v>0.441</v>
      </c>
      <c r="I83" s="610">
        <v>72.93</v>
      </c>
      <c r="J83" s="911">
        <v>0.441</v>
      </c>
      <c r="K83" s="533" t="s">
        <v>295</v>
      </c>
      <c r="L83" s="591"/>
    </row>
    <row r="84" spans="1:12" ht="15">
      <c r="A84" s="606">
        <v>1</v>
      </c>
      <c r="B84" s="607" t="s">
        <v>538</v>
      </c>
      <c r="C84" s="608" t="s">
        <v>550</v>
      </c>
      <c r="D84" s="608">
        <v>2011</v>
      </c>
      <c r="E84" s="609" t="s">
        <v>551</v>
      </c>
      <c r="F84" s="608" t="s">
        <v>624</v>
      </c>
      <c r="G84" s="609" t="s">
        <v>187</v>
      </c>
      <c r="H84" s="910">
        <v>0.17640000000000003</v>
      </c>
      <c r="I84" s="610">
        <v>72.93</v>
      </c>
      <c r="J84" s="911">
        <v>0.17640000000000003</v>
      </c>
      <c r="K84" s="533" t="s">
        <v>295</v>
      </c>
      <c r="L84" s="591"/>
    </row>
    <row r="85" spans="1:12" ht="15">
      <c r="A85" s="606">
        <v>1</v>
      </c>
      <c r="B85" s="607" t="s">
        <v>539</v>
      </c>
      <c r="C85" s="608" t="s">
        <v>550</v>
      </c>
      <c r="D85" s="608">
        <v>2012</v>
      </c>
      <c r="E85" s="609" t="s">
        <v>551</v>
      </c>
      <c r="F85" s="608" t="s">
        <v>624</v>
      </c>
      <c r="G85" s="609" t="s">
        <v>187</v>
      </c>
      <c r="H85" s="910">
        <v>0.13720000000000002</v>
      </c>
      <c r="I85" s="610">
        <v>72.93</v>
      </c>
      <c r="J85" s="911">
        <v>0.13720000000000002</v>
      </c>
      <c r="K85" s="533" t="s">
        <v>295</v>
      </c>
      <c r="L85" s="591"/>
    </row>
    <row r="86" spans="1:12" ht="15">
      <c r="A86" s="606">
        <v>1</v>
      </c>
      <c r="B86" s="607" t="s">
        <v>540</v>
      </c>
      <c r="C86" s="608" t="s">
        <v>552</v>
      </c>
      <c r="D86" s="608">
        <v>2013</v>
      </c>
      <c r="E86" s="609" t="s">
        <v>551</v>
      </c>
      <c r="F86" s="608" t="s">
        <v>628</v>
      </c>
      <c r="G86" s="609" t="s">
        <v>187</v>
      </c>
      <c r="H86" s="910">
        <v>0.1176</v>
      </c>
      <c r="I86" s="610">
        <v>72.93</v>
      </c>
      <c r="J86" s="911">
        <v>0.1176</v>
      </c>
      <c r="K86" s="533" t="s">
        <v>295</v>
      </c>
      <c r="L86" s="591"/>
    </row>
    <row r="87" spans="1:12" ht="15">
      <c r="A87" s="606">
        <v>1</v>
      </c>
      <c r="B87" s="607" t="s">
        <v>541</v>
      </c>
      <c r="C87" s="608" t="s">
        <v>552</v>
      </c>
      <c r="D87" s="608">
        <v>2013</v>
      </c>
      <c r="E87" s="609" t="s">
        <v>551</v>
      </c>
      <c r="F87" s="608" t="s">
        <v>628</v>
      </c>
      <c r="G87" s="609" t="s">
        <v>187</v>
      </c>
      <c r="H87" s="910">
        <v>0.1274</v>
      </c>
      <c r="I87" s="610">
        <v>72.93</v>
      </c>
      <c r="J87" s="911">
        <v>0.1274</v>
      </c>
      <c r="K87" s="533" t="s">
        <v>295</v>
      </c>
      <c r="L87" s="591"/>
    </row>
    <row r="88" spans="1:12" ht="15">
      <c r="A88" s="606">
        <v>1</v>
      </c>
      <c r="B88" s="607" t="s">
        <v>542</v>
      </c>
      <c r="C88" s="608" t="s">
        <v>552</v>
      </c>
      <c r="D88" s="608">
        <v>2014</v>
      </c>
      <c r="E88" s="609" t="s">
        <v>551</v>
      </c>
      <c r="F88" s="608" t="s">
        <v>628</v>
      </c>
      <c r="G88" s="609" t="s">
        <v>187</v>
      </c>
      <c r="H88" s="910">
        <v>0.053899999999999997</v>
      </c>
      <c r="I88" s="610">
        <v>72.93</v>
      </c>
      <c r="J88" s="911">
        <v>0.053899999999999997</v>
      </c>
      <c r="K88" s="533" t="s">
        <v>295</v>
      </c>
      <c r="L88" s="591"/>
    </row>
    <row r="89" spans="1:12" ht="15">
      <c r="A89" s="606">
        <v>1</v>
      </c>
      <c r="B89" s="607" t="s">
        <v>543</v>
      </c>
      <c r="C89" s="608" t="s">
        <v>552</v>
      </c>
      <c r="D89" s="608">
        <v>2013</v>
      </c>
      <c r="E89" s="609" t="s">
        <v>551</v>
      </c>
      <c r="F89" s="608" t="s">
        <v>628</v>
      </c>
      <c r="G89" s="609" t="s">
        <v>187</v>
      </c>
      <c r="H89" s="910">
        <v>0.21364</v>
      </c>
      <c r="I89" s="610">
        <v>72.93</v>
      </c>
      <c r="J89" s="911">
        <v>0.21364</v>
      </c>
      <c r="K89" s="533" t="s">
        <v>295</v>
      </c>
      <c r="L89" s="591"/>
    </row>
    <row r="90" spans="1:12" ht="15">
      <c r="A90" s="606">
        <v>1</v>
      </c>
      <c r="B90" s="607" t="s">
        <v>544</v>
      </c>
      <c r="C90" s="608" t="s">
        <v>550</v>
      </c>
      <c r="D90" s="608">
        <v>2014</v>
      </c>
      <c r="E90" s="609" t="s">
        <v>551</v>
      </c>
      <c r="F90" s="608" t="s">
        <v>628</v>
      </c>
      <c r="G90" s="609" t="s">
        <v>187</v>
      </c>
      <c r="H90" s="910">
        <v>0.053214</v>
      </c>
      <c r="I90" s="610">
        <v>72.93</v>
      </c>
      <c r="J90" s="911">
        <v>0.053214</v>
      </c>
      <c r="K90" s="533" t="s">
        <v>295</v>
      </c>
      <c r="L90" s="591"/>
    </row>
    <row r="91" spans="1:12" ht="15">
      <c r="A91" s="606">
        <v>1</v>
      </c>
      <c r="B91" s="607" t="s">
        <v>547</v>
      </c>
      <c r="C91" s="608" t="s">
        <v>552</v>
      </c>
      <c r="D91" s="608">
        <v>2014</v>
      </c>
      <c r="E91" s="609" t="s">
        <v>551</v>
      </c>
      <c r="F91" s="608" t="s">
        <v>628</v>
      </c>
      <c r="G91" s="609" t="s">
        <v>187</v>
      </c>
      <c r="H91" s="910">
        <v>0.056056</v>
      </c>
      <c r="I91" s="610">
        <v>72.93</v>
      </c>
      <c r="J91" s="911">
        <v>0.056056</v>
      </c>
      <c r="K91" s="533" t="s">
        <v>295</v>
      </c>
      <c r="L91" s="591"/>
    </row>
    <row r="92" spans="1:12" ht="15">
      <c r="A92" s="606">
        <v>1</v>
      </c>
      <c r="B92" s="607" t="s">
        <v>548</v>
      </c>
      <c r="C92" s="608" t="s">
        <v>550</v>
      </c>
      <c r="D92" s="608">
        <v>2017</v>
      </c>
      <c r="E92" s="609" t="s">
        <v>551</v>
      </c>
      <c r="F92" s="608" t="s">
        <v>628</v>
      </c>
      <c r="G92" s="609" t="s">
        <v>187</v>
      </c>
      <c r="H92" s="910">
        <v>0.21559999999999999</v>
      </c>
      <c r="I92" s="610">
        <v>72.93</v>
      </c>
      <c r="J92" s="911">
        <v>0.21559999999999999</v>
      </c>
      <c r="K92" s="533" t="s">
        <v>295</v>
      </c>
      <c r="L92" s="591"/>
    </row>
    <row r="93" spans="1:12" ht="15">
      <c r="A93" s="606">
        <v>1</v>
      </c>
      <c r="B93" s="607" t="s">
        <v>549</v>
      </c>
      <c r="C93" s="608" t="s">
        <v>550</v>
      </c>
      <c r="D93" s="608">
        <v>2017</v>
      </c>
      <c r="E93" s="609" t="s">
        <v>551</v>
      </c>
      <c r="F93" s="608" t="s">
        <v>628</v>
      </c>
      <c r="G93" s="609" t="s">
        <v>187</v>
      </c>
      <c r="H93" s="910">
        <v>0.1666</v>
      </c>
      <c r="I93" s="610">
        <v>72.93</v>
      </c>
      <c r="J93" s="911">
        <v>0.1666</v>
      </c>
      <c r="K93" s="533" t="s">
        <v>295</v>
      </c>
      <c r="L93" s="591"/>
    </row>
    <row r="94" spans="1:12" ht="15">
      <c r="A94" s="606">
        <v>1</v>
      </c>
      <c r="B94" s="607" t="s">
        <v>546</v>
      </c>
      <c r="C94" s="608" t="s">
        <v>60</v>
      </c>
      <c r="D94" s="608">
        <v>2017</v>
      </c>
      <c r="E94" s="609" t="s">
        <v>551</v>
      </c>
      <c r="F94" s="608" t="s">
        <v>628</v>
      </c>
      <c r="G94" s="609" t="s">
        <v>187</v>
      </c>
      <c r="H94" s="910">
        <v>0.83104</v>
      </c>
      <c r="I94" s="613" t="s">
        <v>570</v>
      </c>
      <c r="J94" s="911">
        <v>0.83104</v>
      </c>
      <c r="K94" s="533" t="s">
        <v>295</v>
      </c>
      <c r="L94" s="591"/>
    </row>
    <row r="95" spans="1:12" ht="15">
      <c r="A95" s="606">
        <v>1</v>
      </c>
      <c r="B95" s="607" t="s">
        <v>545</v>
      </c>
      <c r="C95" s="608" t="s">
        <v>550</v>
      </c>
      <c r="D95" s="608">
        <v>2012</v>
      </c>
      <c r="E95" s="609" t="s">
        <v>553</v>
      </c>
      <c r="F95" s="608" t="s">
        <v>624</v>
      </c>
      <c r="G95" s="609" t="s">
        <v>187</v>
      </c>
      <c r="H95" s="910">
        <v>0.6762</v>
      </c>
      <c r="I95" s="613" t="s">
        <v>570</v>
      </c>
      <c r="J95" s="911">
        <v>0.6762</v>
      </c>
      <c r="K95" s="533" t="s">
        <v>295</v>
      </c>
      <c r="L95" s="591"/>
    </row>
    <row r="96" spans="1:12" ht="15">
      <c r="A96" s="606">
        <v>1</v>
      </c>
      <c r="B96" s="607" t="s">
        <v>629</v>
      </c>
      <c r="C96" s="608" t="s">
        <v>630</v>
      </c>
      <c r="D96" s="608">
        <v>2012</v>
      </c>
      <c r="E96" s="609" t="s">
        <v>631</v>
      </c>
      <c r="F96" s="608" t="s">
        <v>624</v>
      </c>
      <c r="G96" s="609" t="s">
        <v>187</v>
      </c>
      <c r="H96" s="910">
        <v>0.96321</v>
      </c>
      <c r="I96" s="610">
        <v>100</v>
      </c>
      <c r="J96" s="912">
        <f>+H96*I96%</f>
        <v>0.96321</v>
      </c>
      <c r="K96" s="533" t="s">
        <v>295</v>
      </c>
      <c r="L96" s="591"/>
    </row>
    <row r="97" spans="1:12" ht="15">
      <c r="A97" s="606">
        <v>1</v>
      </c>
      <c r="B97" s="607" t="s">
        <v>632</v>
      </c>
      <c r="C97" s="608" t="s">
        <v>630</v>
      </c>
      <c r="D97" s="608">
        <v>2011</v>
      </c>
      <c r="E97" s="609" t="s">
        <v>633</v>
      </c>
      <c r="F97" s="608" t="s">
        <v>624</v>
      </c>
      <c r="G97" s="609" t="s">
        <v>187</v>
      </c>
      <c r="H97" s="910">
        <v>2.7117050000000003</v>
      </c>
      <c r="I97" s="610">
        <v>100</v>
      </c>
      <c r="J97" s="912">
        <f>+H97*I97%</f>
        <v>2.7117050000000003</v>
      </c>
      <c r="K97" s="533" t="s">
        <v>295</v>
      </c>
      <c r="L97" s="591"/>
    </row>
    <row r="98" spans="1:12" ht="15">
      <c r="A98" s="606">
        <v>1</v>
      </c>
      <c r="B98" s="607" t="s">
        <v>634</v>
      </c>
      <c r="C98" s="608" t="s">
        <v>630</v>
      </c>
      <c r="D98" s="608">
        <v>2015</v>
      </c>
      <c r="E98" s="609" t="s">
        <v>633</v>
      </c>
      <c r="F98" s="608" t="s">
        <v>628</v>
      </c>
      <c r="G98" s="609" t="s">
        <v>187</v>
      </c>
      <c r="H98" s="910">
        <v>0.93385</v>
      </c>
      <c r="I98" s="610">
        <v>100</v>
      </c>
      <c r="J98" s="912">
        <f>+H98*I98%</f>
        <v>0.93385</v>
      </c>
      <c r="K98" s="533" t="s">
        <v>295</v>
      </c>
      <c r="L98" s="591"/>
    </row>
    <row r="99" spans="1:12" ht="15">
      <c r="A99" s="614">
        <f>+SUM(A8:A98)</f>
        <v>91</v>
      </c>
      <c r="B99" s="615" t="s">
        <v>40</v>
      </c>
      <c r="C99" s="616"/>
      <c r="D99" s="617"/>
      <c r="E99" s="616"/>
      <c r="F99" s="616"/>
      <c r="G99" s="616"/>
      <c r="H99" s="905">
        <f>+SUM(H8:H98)</f>
        <v>1012.2302717630224</v>
      </c>
      <c r="I99" s="617"/>
      <c r="J99" s="905">
        <f>+SUM(J8:J98)</f>
        <v>1012.2302717630224</v>
      </c>
      <c r="K99" s="546"/>
      <c r="L99" s="591"/>
    </row>
    <row r="100" spans="1:11" ht="14.25">
      <c r="A100" s="618"/>
      <c r="B100" s="618"/>
      <c r="C100" s="619"/>
      <c r="D100" s="620"/>
      <c r="E100" s="621"/>
      <c r="G100" s="619"/>
      <c r="H100" s="622"/>
      <c r="I100" s="623"/>
      <c r="J100" s="906"/>
      <c r="K100" s="528"/>
    </row>
    <row r="101" spans="1:11" ht="15">
      <c r="A101" s="624">
        <v>3</v>
      </c>
      <c r="B101" s="618" t="s">
        <v>635</v>
      </c>
      <c r="C101" s="608" t="s">
        <v>192</v>
      </c>
      <c r="D101" s="620"/>
      <c r="E101" s="625" t="s">
        <v>193</v>
      </c>
      <c r="F101" s="620"/>
      <c r="G101" s="609"/>
      <c r="H101" s="902">
        <v>626</v>
      </c>
      <c r="I101" s="626">
        <v>20</v>
      </c>
      <c r="J101" s="907">
        <v>125.2</v>
      </c>
      <c r="K101" s="573" t="s">
        <v>337</v>
      </c>
    </row>
    <row r="102" spans="1:12" ht="15.75" thickBot="1">
      <c r="A102" s="618"/>
      <c r="B102" s="618"/>
      <c r="C102" s="627"/>
      <c r="D102" s="620"/>
      <c r="E102" s="628"/>
      <c r="F102" s="620"/>
      <c r="G102" s="629"/>
      <c r="H102" s="903"/>
      <c r="I102" s="630"/>
      <c r="J102" s="908"/>
      <c r="K102" s="577"/>
      <c r="L102" s="591"/>
    </row>
    <row r="103" spans="1:12" ht="21.75" thickBot="1" thickTop="1">
      <c r="A103" s="551">
        <f>+A99+A101</f>
        <v>94</v>
      </c>
      <c r="B103" s="631" t="s">
        <v>571</v>
      </c>
      <c r="C103" s="632"/>
      <c r="D103" s="633"/>
      <c r="E103" s="632"/>
      <c r="F103" s="632"/>
      <c r="G103" s="632"/>
      <c r="H103" s="904">
        <f>+H99+H101</f>
        <v>1638.2302717630223</v>
      </c>
      <c r="I103" s="633"/>
      <c r="J103" s="909">
        <f>+J99+J101</f>
        <v>1137.4302717630223</v>
      </c>
      <c r="K103" s="556"/>
      <c r="L103" s="591"/>
    </row>
    <row r="104" spans="1:12" ht="15.75" thickTop="1">
      <c r="A104" s="591"/>
      <c r="B104" s="591"/>
      <c r="C104" s="591"/>
      <c r="D104" s="476"/>
      <c r="E104" s="591"/>
      <c r="F104" s="591"/>
      <c r="G104" s="591"/>
      <c r="H104" s="591"/>
      <c r="I104" s="591"/>
      <c r="J104" s="587"/>
      <c r="K104" s="505"/>
      <c r="L104" s="591"/>
    </row>
    <row r="105" spans="1:12" ht="15">
      <c r="A105" s="591"/>
      <c r="B105" s="634" t="s">
        <v>636</v>
      </c>
      <c r="C105" s="591"/>
      <c r="D105" s="476"/>
      <c r="E105" s="591"/>
      <c r="F105" s="591"/>
      <c r="G105" s="591"/>
      <c r="H105" s="591"/>
      <c r="I105" s="591"/>
      <c r="J105" s="635"/>
      <c r="K105" s="513"/>
      <c r="L105" s="591"/>
    </row>
    <row r="106" spans="1:12" ht="15">
      <c r="A106" s="591"/>
      <c r="B106" s="634" t="s">
        <v>637</v>
      </c>
      <c r="C106" s="591"/>
      <c r="D106" s="591"/>
      <c r="E106" s="591"/>
      <c r="F106" s="591"/>
      <c r="G106" s="591"/>
      <c r="H106" s="591"/>
      <c r="I106" s="591"/>
      <c r="J106" s="587"/>
      <c r="K106" s="505"/>
      <c r="L106" s="591"/>
    </row>
    <row r="107" spans="1:12" ht="15">
      <c r="A107" s="591"/>
      <c r="B107" s="591"/>
      <c r="C107" s="591"/>
      <c r="D107" s="591"/>
      <c r="E107" s="591"/>
      <c r="F107" s="591"/>
      <c r="G107" s="591"/>
      <c r="H107" s="591"/>
      <c r="I107" s="591"/>
      <c r="J107" s="587"/>
      <c r="K107" s="505"/>
      <c r="L107" s="591"/>
    </row>
    <row r="108" spans="1:12" ht="15.75" thickBot="1">
      <c r="A108" s="591"/>
      <c r="B108" s="591"/>
      <c r="C108" s="591"/>
      <c r="D108" s="591"/>
      <c r="I108" s="588"/>
      <c r="J108" s="636"/>
      <c r="K108" s="505"/>
      <c r="L108" s="591"/>
    </row>
    <row r="109" spans="1:12" ht="15.75" thickBot="1">
      <c r="A109" s="591"/>
      <c r="B109" s="637"/>
      <c r="C109" s="638" t="s">
        <v>512</v>
      </c>
      <c r="D109" s="638" t="s">
        <v>344</v>
      </c>
      <c r="E109" s="639"/>
      <c r="G109" s="639"/>
      <c r="H109" s="639"/>
      <c r="I109" s="639"/>
      <c r="J109" s="639"/>
      <c r="K109" s="505"/>
      <c r="L109" s="591"/>
    </row>
    <row r="110" spans="1:12" ht="15">
      <c r="A110" s="591"/>
      <c r="B110" s="618" t="s">
        <v>704</v>
      </c>
      <c r="C110" s="640">
        <v>59.816666824413524</v>
      </c>
      <c r="D110" s="641">
        <v>29</v>
      </c>
      <c r="H110" s="642"/>
      <c r="I110" s="588"/>
      <c r="J110" s="588"/>
      <c r="K110" s="505"/>
      <c r="L110" s="591"/>
    </row>
    <row r="111" spans="1:12" ht="15">
      <c r="A111" s="591"/>
      <c r="B111" s="618" t="s">
        <v>710</v>
      </c>
      <c r="C111" s="640">
        <v>10.283604938608446</v>
      </c>
      <c r="D111" s="641">
        <v>24</v>
      </c>
      <c r="H111" s="642"/>
      <c r="I111" s="588"/>
      <c r="J111" s="588"/>
      <c r="K111" s="505"/>
      <c r="L111" s="591"/>
    </row>
    <row r="112" spans="1:12" ht="15">
      <c r="A112" s="591"/>
      <c r="B112" s="618" t="s">
        <v>705</v>
      </c>
      <c r="C112" s="640">
        <v>942.1300000000001</v>
      </c>
      <c r="D112" s="641">
        <v>38</v>
      </c>
      <c r="H112" s="642"/>
      <c r="I112" s="588"/>
      <c r="J112" s="588"/>
      <c r="K112" s="505"/>
      <c r="L112" s="591"/>
    </row>
    <row r="113" spans="1:12" ht="15.75" thickBot="1">
      <c r="A113" s="586"/>
      <c r="B113" s="643" t="s">
        <v>706</v>
      </c>
      <c r="C113" s="644">
        <v>1012.2302717630221</v>
      </c>
      <c r="D113" s="645">
        <v>91</v>
      </c>
      <c r="H113" s="642"/>
      <c r="I113" s="588"/>
      <c r="J113" s="588"/>
      <c r="K113" s="505"/>
      <c r="L113" s="586"/>
    </row>
    <row r="114" spans="1:12" ht="15">
      <c r="A114" s="586"/>
      <c r="B114" s="586"/>
      <c r="C114" s="586"/>
      <c r="D114" s="586"/>
      <c r="I114" s="588"/>
      <c r="J114" s="636"/>
      <c r="K114" s="505"/>
      <c r="L114" s="586"/>
    </row>
    <row r="115" ht="15">
      <c r="B115" s="634" t="s">
        <v>707</v>
      </c>
    </row>
    <row r="116" ht="15">
      <c r="B116" s="634" t="s">
        <v>708</v>
      </c>
    </row>
    <row r="117" ht="15">
      <c r="B117" s="634" t="s">
        <v>709</v>
      </c>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72"/>
  <sheetViews>
    <sheetView zoomScalePageLayoutView="0" workbookViewId="0" topLeftCell="A43">
      <selection activeCell="R68" sqref="R68"/>
    </sheetView>
  </sheetViews>
  <sheetFormatPr defaultColWidth="9.140625" defaultRowHeight="12.75"/>
  <cols>
    <col min="1" max="1" width="5.421875" style="620" customWidth="1"/>
    <col min="2" max="2" width="39.8515625" style="588" customWidth="1"/>
    <col min="3" max="3" width="16.57421875" style="588" bestFit="1" customWidth="1"/>
    <col min="4" max="4" width="14.8515625" style="588" customWidth="1"/>
    <col min="5" max="5" width="25.140625" style="588" customWidth="1"/>
    <col min="6" max="6" width="12.28125" style="588" customWidth="1"/>
    <col min="7" max="7" width="14.28125" style="636" bestFit="1" customWidth="1"/>
    <col min="8" max="8" width="15.7109375" style="725" customWidth="1"/>
    <col min="9" max="9" width="11.57421875" style="588" customWidth="1"/>
    <col min="10" max="16384" width="9.140625" style="588" customWidth="1"/>
  </cols>
  <sheetData>
    <row r="1" spans="1:10" ht="15">
      <c r="A1" s="646"/>
      <c r="B1" s="647"/>
      <c r="C1" s="647"/>
      <c r="D1" s="647"/>
      <c r="E1" s="647"/>
      <c r="F1" s="647"/>
      <c r="G1" s="647"/>
      <c r="H1" s="649"/>
      <c r="I1" s="649"/>
      <c r="J1" s="650"/>
    </row>
    <row r="2" spans="1:10" ht="15.75">
      <c r="A2" s="651" t="s">
        <v>638</v>
      </c>
      <c r="B2" s="647"/>
      <c r="C2" s="647"/>
      <c r="D2" s="647"/>
      <c r="E2" s="652"/>
      <c r="F2" s="652"/>
      <c r="G2" s="652"/>
      <c r="H2" s="649"/>
      <c r="I2" s="649"/>
      <c r="J2" s="650"/>
    </row>
    <row r="3" spans="1:10" ht="15">
      <c r="A3" s="646"/>
      <c r="B3" s="647"/>
      <c r="C3" s="647"/>
      <c r="D3" s="647"/>
      <c r="E3" s="647"/>
      <c r="F3" s="647"/>
      <c r="G3" s="647"/>
      <c r="H3" s="649"/>
      <c r="I3" s="649"/>
      <c r="J3" s="650"/>
    </row>
    <row r="4" spans="1:10" ht="15" customHeight="1" thickBot="1">
      <c r="A4" s="646"/>
      <c r="B4" s="647"/>
      <c r="C4" s="647"/>
      <c r="D4" s="647"/>
      <c r="E4" s="647"/>
      <c r="F4" s="647"/>
      <c r="G4" s="650"/>
      <c r="H4" s="920"/>
      <c r="I4" s="653"/>
      <c r="J4" s="650"/>
    </row>
    <row r="5" spans="1:10" ht="45.75" thickBot="1">
      <c r="A5" s="654" t="s">
        <v>344</v>
      </c>
      <c r="B5" s="655" t="s">
        <v>4</v>
      </c>
      <c r="C5" s="655" t="s">
        <v>395</v>
      </c>
      <c r="D5" s="655" t="s">
        <v>5</v>
      </c>
      <c r="E5" s="655" t="s">
        <v>43</v>
      </c>
      <c r="F5" s="656" t="s">
        <v>572</v>
      </c>
      <c r="G5" s="657" t="s">
        <v>338</v>
      </c>
      <c r="H5" s="657" t="s">
        <v>573</v>
      </c>
      <c r="I5" s="658" t="s">
        <v>288</v>
      </c>
      <c r="J5" s="650"/>
    </row>
    <row r="6" spans="1:10" ht="15.75" thickBot="1">
      <c r="A6" s="659"/>
      <c r="B6" s="660"/>
      <c r="C6" s="661"/>
      <c r="D6" s="661"/>
      <c r="E6" s="661"/>
      <c r="F6" s="662"/>
      <c r="G6" s="662"/>
      <c r="H6" s="921"/>
      <c r="I6" s="663"/>
      <c r="J6" s="650"/>
    </row>
    <row r="7" spans="1:10" ht="15.75" thickBot="1">
      <c r="A7" s="659"/>
      <c r="B7" s="664" t="s">
        <v>396</v>
      </c>
      <c r="C7" s="661"/>
      <c r="D7" s="661"/>
      <c r="E7" s="661"/>
      <c r="F7" s="662"/>
      <c r="G7" s="662"/>
      <c r="H7" s="921"/>
      <c r="I7" s="663"/>
      <c r="J7" s="650"/>
    </row>
    <row r="8" spans="1:10" ht="15">
      <c r="A8" s="659"/>
      <c r="B8" s="660"/>
      <c r="C8" s="661"/>
      <c r="D8" s="661"/>
      <c r="E8" s="661"/>
      <c r="F8" s="662"/>
      <c r="G8" s="662"/>
      <c r="H8" s="921"/>
      <c r="I8" s="663"/>
      <c r="J8" s="650"/>
    </row>
    <row r="9" spans="1:10" ht="15">
      <c r="A9" s="659">
        <v>1</v>
      </c>
      <c r="B9" s="665" t="s">
        <v>249</v>
      </c>
      <c r="C9" s="666" t="s">
        <v>397</v>
      </c>
      <c r="D9" s="667">
        <v>2005</v>
      </c>
      <c r="E9" s="666" t="s">
        <v>248</v>
      </c>
      <c r="F9" s="913">
        <f aca="true" t="shared" si="0" ref="F9:F47">0.833*0.3*100</f>
        <v>24.99</v>
      </c>
      <c r="G9" s="915">
        <v>70</v>
      </c>
      <c r="H9" s="922">
        <f aca="true" t="shared" si="1" ref="H9:H47">+G9</f>
        <v>70</v>
      </c>
      <c r="I9" s="670" t="s">
        <v>295</v>
      </c>
      <c r="J9" s="650"/>
    </row>
    <row r="10" spans="1:10" ht="15">
      <c r="A10" s="659">
        <v>1</v>
      </c>
      <c r="B10" s="665" t="s">
        <v>250</v>
      </c>
      <c r="C10" s="666" t="s">
        <v>397</v>
      </c>
      <c r="D10" s="667">
        <v>2014</v>
      </c>
      <c r="E10" s="666" t="s">
        <v>248</v>
      </c>
      <c r="F10" s="913">
        <f t="shared" si="0"/>
        <v>24.99</v>
      </c>
      <c r="G10" s="915">
        <v>12</v>
      </c>
      <c r="H10" s="922">
        <f t="shared" si="1"/>
        <v>12</v>
      </c>
      <c r="I10" s="670" t="s">
        <v>295</v>
      </c>
      <c r="J10" s="650"/>
    </row>
    <row r="11" spans="1:10" ht="15">
      <c r="A11" s="659">
        <v>1</v>
      </c>
      <c r="B11" s="665" t="s">
        <v>398</v>
      </c>
      <c r="C11" s="666" t="s">
        <v>399</v>
      </c>
      <c r="D11" s="667">
        <v>1996</v>
      </c>
      <c r="E11" s="666" t="s">
        <v>248</v>
      </c>
      <c r="F11" s="913">
        <f t="shared" si="0"/>
        <v>24.99</v>
      </c>
      <c r="G11" s="915">
        <v>2.6</v>
      </c>
      <c r="H11" s="922">
        <f t="shared" si="1"/>
        <v>2.6</v>
      </c>
      <c r="I11" s="670" t="s">
        <v>295</v>
      </c>
      <c r="J11" s="650"/>
    </row>
    <row r="12" spans="1:10" ht="15">
      <c r="A12" s="659">
        <v>1</v>
      </c>
      <c r="B12" s="665" t="s">
        <v>639</v>
      </c>
      <c r="C12" s="666" t="s">
        <v>400</v>
      </c>
      <c r="D12" s="667">
        <v>2001</v>
      </c>
      <c r="E12" s="666" t="s">
        <v>248</v>
      </c>
      <c r="F12" s="913">
        <v>24.99</v>
      </c>
      <c r="G12" s="915">
        <v>0</v>
      </c>
      <c r="H12" s="922">
        <v>0</v>
      </c>
      <c r="I12" s="670" t="s">
        <v>295</v>
      </c>
      <c r="J12" s="650" t="s">
        <v>711</v>
      </c>
    </row>
    <row r="13" spans="1:10" ht="15">
      <c r="A13" s="659">
        <v>1</v>
      </c>
      <c r="B13" s="665" t="s">
        <v>640</v>
      </c>
      <c r="C13" s="666" t="s">
        <v>400</v>
      </c>
      <c r="D13" s="667" t="s">
        <v>641</v>
      </c>
      <c r="E13" s="666" t="s">
        <v>248</v>
      </c>
      <c r="F13" s="913">
        <f>0.833*0.3*100</f>
        <v>24.99</v>
      </c>
      <c r="G13" s="915">
        <v>39.599999999999994</v>
      </c>
      <c r="H13" s="922">
        <f>+G13</f>
        <v>39.599999999999994</v>
      </c>
      <c r="I13" s="670" t="s">
        <v>295</v>
      </c>
      <c r="J13" s="671"/>
    </row>
    <row r="14" spans="1:10" ht="15">
      <c r="A14" s="659">
        <v>1</v>
      </c>
      <c r="B14" s="665" t="s">
        <v>401</v>
      </c>
      <c r="C14" s="666" t="s">
        <v>400</v>
      </c>
      <c r="D14" s="667">
        <v>2004</v>
      </c>
      <c r="E14" s="666" t="s">
        <v>248</v>
      </c>
      <c r="F14" s="913">
        <f t="shared" si="0"/>
        <v>24.99</v>
      </c>
      <c r="G14" s="915">
        <v>15.84</v>
      </c>
      <c r="H14" s="922">
        <f t="shared" si="1"/>
        <v>15.84</v>
      </c>
      <c r="I14" s="670" t="s">
        <v>295</v>
      </c>
      <c r="J14" s="650"/>
    </row>
    <row r="15" spans="1:10" ht="15">
      <c r="A15" s="659">
        <v>1</v>
      </c>
      <c r="B15" s="665" t="s">
        <v>14</v>
      </c>
      <c r="C15" s="666" t="s">
        <v>399</v>
      </c>
      <c r="D15" s="667">
        <v>1999</v>
      </c>
      <c r="E15" s="666" t="s">
        <v>248</v>
      </c>
      <c r="F15" s="913">
        <f t="shared" si="0"/>
        <v>24.99</v>
      </c>
      <c r="G15" s="915">
        <v>3.15</v>
      </c>
      <c r="H15" s="922">
        <f t="shared" si="1"/>
        <v>3.15</v>
      </c>
      <c r="I15" s="670" t="s">
        <v>295</v>
      </c>
      <c r="J15" s="650"/>
    </row>
    <row r="16" spans="1:10" ht="15">
      <c r="A16" s="659">
        <v>1</v>
      </c>
      <c r="B16" s="665" t="s">
        <v>16</v>
      </c>
      <c r="C16" s="666" t="s">
        <v>399</v>
      </c>
      <c r="D16" s="667">
        <v>2001</v>
      </c>
      <c r="E16" s="666" t="s">
        <v>248</v>
      </c>
      <c r="F16" s="913">
        <f t="shared" si="0"/>
        <v>24.99</v>
      </c>
      <c r="G16" s="915">
        <v>4.2</v>
      </c>
      <c r="H16" s="922">
        <f t="shared" si="1"/>
        <v>4.2</v>
      </c>
      <c r="I16" s="670" t="s">
        <v>295</v>
      </c>
      <c r="J16" s="650"/>
    </row>
    <row r="17" spans="1:10" ht="15">
      <c r="A17" s="659">
        <v>1</v>
      </c>
      <c r="B17" s="665" t="s">
        <v>402</v>
      </c>
      <c r="C17" s="666" t="s">
        <v>399</v>
      </c>
      <c r="D17" s="667">
        <v>2002</v>
      </c>
      <c r="E17" s="666" t="s">
        <v>248</v>
      </c>
      <c r="F17" s="913">
        <f t="shared" si="0"/>
        <v>24.99</v>
      </c>
      <c r="G17" s="915">
        <v>14.4</v>
      </c>
      <c r="H17" s="922">
        <f t="shared" si="1"/>
        <v>14.4</v>
      </c>
      <c r="I17" s="670" t="s">
        <v>295</v>
      </c>
      <c r="J17" s="650"/>
    </row>
    <row r="18" spans="1:10" ht="15">
      <c r="A18" s="659">
        <v>1</v>
      </c>
      <c r="B18" s="665" t="s">
        <v>403</v>
      </c>
      <c r="C18" s="666" t="s">
        <v>399</v>
      </c>
      <c r="D18" s="667">
        <v>2005</v>
      </c>
      <c r="E18" s="666" t="s">
        <v>248</v>
      </c>
      <c r="F18" s="913">
        <f t="shared" si="0"/>
        <v>24.99</v>
      </c>
      <c r="G18" s="915">
        <v>12</v>
      </c>
      <c r="H18" s="922">
        <f t="shared" si="1"/>
        <v>12</v>
      </c>
      <c r="I18" s="670" t="s">
        <v>295</v>
      </c>
      <c r="J18" s="650"/>
    </row>
    <row r="19" spans="1:10" ht="15">
      <c r="A19" s="659">
        <v>1</v>
      </c>
      <c r="B19" s="665" t="s">
        <v>278</v>
      </c>
      <c r="C19" s="666" t="s">
        <v>397</v>
      </c>
      <c r="D19" s="667">
        <v>2001</v>
      </c>
      <c r="E19" s="666" t="s">
        <v>248</v>
      </c>
      <c r="F19" s="913">
        <f t="shared" si="0"/>
        <v>24.99</v>
      </c>
      <c r="G19" s="915">
        <v>6.6</v>
      </c>
      <c r="H19" s="922">
        <f t="shared" si="1"/>
        <v>6.6</v>
      </c>
      <c r="I19" s="670" t="s">
        <v>295</v>
      </c>
      <c r="J19" s="650"/>
    </row>
    <row r="20" spans="1:10" ht="15">
      <c r="A20" s="659">
        <v>1</v>
      </c>
      <c r="B20" s="665" t="s">
        <v>15</v>
      </c>
      <c r="C20" s="666" t="s">
        <v>397</v>
      </c>
      <c r="D20" s="667">
        <v>2001</v>
      </c>
      <c r="E20" s="666" t="s">
        <v>248</v>
      </c>
      <c r="F20" s="913">
        <f t="shared" si="0"/>
        <v>24.99</v>
      </c>
      <c r="G20" s="915">
        <v>9.6</v>
      </c>
      <c r="H20" s="922">
        <f t="shared" si="1"/>
        <v>9.6</v>
      </c>
      <c r="I20" s="670" t="s">
        <v>295</v>
      </c>
      <c r="J20" s="650"/>
    </row>
    <row r="21" spans="1:10" ht="15">
      <c r="A21" s="659">
        <v>1</v>
      </c>
      <c r="B21" s="665" t="s">
        <v>404</v>
      </c>
      <c r="C21" s="666" t="s">
        <v>397</v>
      </c>
      <c r="D21" s="667">
        <v>2011</v>
      </c>
      <c r="E21" s="666" t="s">
        <v>248</v>
      </c>
      <c r="F21" s="913">
        <f t="shared" si="0"/>
        <v>24.99</v>
      </c>
      <c r="G21" s="915">
        <v>17</v>
      </c>
      <c r="H21" s="922">
        <f t="shared" si="1"/>
        <v>17</v>
      </c>
      <c r="I21" s="670" t="s">
        <v>295</v>
      </c>
      <c r="J21" s="650"/>
    </row>
    <row r="22" spans="1:10" ht="15">
      <c r="A22" s="659">
        <v>1</v>
      </c>
      <c r="B22" s="665" t="s">
        <v>405</v>
      </c>
      <c r="C22" s="666" t="s">
        <v>400</v>
      </c>
      <c r="D22" s="667">
        <v>2002</v>
      </c>
      <c r="E22" s="666" t="s">
        <v>248</v>
      </c>
      <c r="F22" s="913">
        <f t="shared" si="0"/>
        <v>24.99</v>
      </c>
      <c r="G22" s="915">
        <v>9</v>
      </c>
      <c r="H22" s="922">
        <f t="shared" si="1"/>
        <v>9</v>
      </c>
      <c r="I22" s="670" t="s">
        <v>295</v>
      </c>
      <c r="J22" s="650"/>
    </row>
    <row r="23" spans="1:10" ht="15">
      <c r="A23" s="659">
        <v>1</v>
      </c>
      <c r="B23" s="665" t="s">
        <v>168</v>
      </c>
      <c r="C23" s="666" t="s">
        <v>406</v>
      </c>
      <c r="D23" s="667">
        <v>2008</v>
      </c>
      <c r="E23" s="666" t="s">
        <v>248</v>
      </c>
      <c r="F23" s="913">
        <f t="shared" si="0"/>
        <v>24.99</v>
      </c>
      <c r="G23" s="915">
        <v>34</v>
      </c>
      <c r="H23" s="922">
        <f t="shared" si="1"/>
        <v>34</v>
      </c>
      <c r="I23" s="670" t="s">
        <v>295</v>
      </c>
      <c r="J23" s="650"/>
    </row>
    <row r="24" spans="1:10" ht="15">
      <c r="A24" s="659">
        <v>1</v>
      </c>
      <c r="B24" s="665" t="s">
        <v>642</v>
      </c>
      <c r="C24" s="666" t="s">
        <v>410</v>
      </c>
      <c r="D24" s="667" t="s">
        <v>641</v>
      </c>
      <c r="E24" s="666" t="s">
        <v>248</v>
      </c>
      <c r="F24" s="913">
        <f t="shared" si="0"/>
        <v>24.99</v>
      </c>
      <c r="G24" s="915">
        <v>15</v>
      </c>
      <c r="H24" s="922">
        <f t="shared" si="1"/>
        <v>15</v>
      </c>
      <c r="I24" s="670" t="s">
        <v>295</v>
      </c>
      <c r="J24" s="650"/>
    </row>
    <row r="25" spans="1:10" ht="15">
      <c r="A25" s="659">
        <v>1</v>
      </c>
      <c r="B25" s="665" t="s">
        <v>407</v>
      </c>
      <c r="C25" s="666" t="s">
        <v>408</v>
      </c>
      <c r="D25" s="667">
        <v>2010</v>
      </c>
      <c r="E25" s="666" t="s">
        <v>248</v>
      </c>
      <c r="F25" s="913">
        <f t="shared" si="0"/>
        <v>24.99</v>
      </c>
      <c r="G25" s="915">
        <v>26</v>
      </c>
      <c r="H25" s="922">
        <f t="shared" si="1"/>
        <v>26</v>
      </c>
      <c r="I25" s="670" t="s">
        <v>295</v>
      </c>
      <c r="J25" s="650"/>
    </row>
    <row r="26" spans="1:10" ht="15">
      <c r="A26" s="659">
        <v>1</v>
      </c>
      <c r="B26" s="665" t="s">
        <v>409</v>
      </c>
      <c r="C26" s="666" t="s">
        <v>408</v>
      </c>
      <c r="D26" s="667">
        <v>2009</v>
      </c>
      <c r="E26" s="666" t="s">
        <v>248</v>
      </c>
      <c r="F26" s="913">
        <f t="shared" si="0"/>
        <v>24.99</v>
      </c>
      <c r="G26" s="915">
        <v>50</v>
      </c>
      <c r="H26" s="922">
        <f t="shared" si="1"/>
        <v>50</v>
      </c>
      <c r="I26" s="670" t="s">
        <v>295</v>
      </c>
      <c r="J26" s="650"/>
    </row>
    <row r="27" spans="1:10" ht="15">
      <c r="A27" s="659">
        <v>1</v>
      </c>
      <c r="B27" s="665" t="s">
        <v>212</v>
      </c>
      <c r="C27" s="666" t="s">
        <v>410</v>
      </c>
      <c r="D27" s="667">
        <v>2010</v>
      </c>
      <c r="E27" s="666" t="s">
        <v>248</v>
      </c>
      <c r="F27" s="913">
        <f t="shared" si="0"/>
        <v>24.99</v>
      </c>
      <c r="G27" s="915">
        <v>30</v>
      </c>
      <c r="H27" s="922">
        <f t="shared" si="1"/>
        <v>30</v>
      </c>
      <c r="I27" s="670" t="s">
        <v>295</v>
      </c>
      <c r="J27" s="650"/>
    </row>
    <row r="28" spans="1:10" ht="15">
      <c r="A28" s="659">
        <v>1</v>
      </c>
      <c r="B28" s="665" t="s">
        <v>411</v>
      </c>
      <c r="C28" s="666" t="s">
        <v>400</v>
      </c>
      <c r="D28" s="667">
        <v>2001</v>
      </c>
      <c r="E28" s="666" t="s">
        <v>248</v>
      </c>
      <c r="F28" s="913">
        <f t="shared" si="0"/>
        <v>24.99</v>
      </c>
      <c r="G28" s="915">
        <v>9.6</v>
      </c>
      <c r="H28" s="922">
        <f t="shared" si="1"/>
        <v>9.6</v>
      </c>
      <c r="I28" s="670" t="s">
        <v>295</v>
      </c>
      <c r="J28" s="650"/>
    </row>
    <row r="29" spans="1:10" ht="15">
      <c r="A29" s="659">
        <v>1</v>
      </c>
      <c r="B29" s="665" t="s">
        <v>412</v>
      </c>
      <c r="C29" s="666" t="s">
        <v>400</v>
      </c>
      <c r="D29" s="667">
        <v>2002</v>
      </c>
      <c r="E29" s="666" t="s">
        <v>248</v>
      </c>
      <c r="F29" s="913">
        <f t="shared" si="0"/>
        <v>24.99</v>
      </c>
      <c r="G29" s="915">
        <v>24.599999999999994</v>
      </c>
      <c r="H29" s="922">
        <f t="shared" si="1"/>
        <v>24.599999999999994</v>
      </c>
      <c r="I29" s="670" t="s">
        <v>295</v>
      </c>
      <c r="J29" s="650"/>
    </row>
    <row r="30" spans="1:10" ht="15">
      <c r="A30" s="659">
        <v>1</v>
      </c>
      <c r="B30" s="665" t="s">
        <v>413</v>
      </c>
      <c r="C30" s="666" t="s">
        <v>414</v>
      </c>
      <c r="D30" s="667">
        <v>2001</v>
      </c>
      <c r="E30" s="666" t="s">
        <v>248</v>
      </c>
      <c r="F30" s="913">
        <f t="shared" si="0"/>
        <v>24.99</v>
      </c>
      <c r="G30" s="916">
        <v>1.8</v>
      </c>
      <c r="H30" s="922">
        <f t="shared" si="1"/>
        <v>1.8</v>
      </c>
      <c r="I30" s="670" t="s">
        <v>295</v>
      </c>
      <c r="J30" s="650"/>
    </row>
    <row r="31" spans="1:10" ht="15">
      <c r="A31" s="659">
        <v>1</v>
      </c>
      <c r="B31" s="665" t="s">
        <v>415</v>
      </c>
      <c r="C31" s="666" t="s">
        <v>399</v>
      </c>
      <c r="D31" s="667">
        <v>2001</v>
      </c>
      <c r="E31" s="666" t="s">
        <v>248</v>
      </c>
      <c r="F31" s="914">
        <f t="shared" si="0"/>
        <v>24.99</v>
      </c>
      <c r="G31" s="916">
        <v>18</v>
      </c>
      <c r="H31" s="923">
        <f t="shared" si="1"/>
        <v>18</v>
      </c>
      <c r="I31" s="670" t="s">
        <v>295</v>
      </c>
      <c r="J31" s="650"/>
    </row>
    <row r="32" spans="1:10" ht="15">
      <c r="A32" s="659">
        <v>1</v>
      </c>
      <c r="B32" s="665" t="s">
        <v>416</v>
      </c>
      <c r="C32" s="666" t="s">
        <v>399</v>
      </c>
      <c r="D32" s="667">
        <v>2012</v>
      </c>
      <c r="E32" s="666" t="s">
        <v>248</v>
      </c>
      <c r="F32" s="914">
        <f t="shared" si="0"/>
        <v>24.99</v>
      </c>
      <c r="G32" s="916">
        <v>38</v>
      </c>
      <c r="H32" s="923">
        <f t="shared" si="1"/>
        <v>38</v>
      </c>
      <c r="I32" s="670" t="s">
        <v>295</v>
      </c>
      <c r="J32" s="650"/>
    </row>
    <row r="33" spans="1:10" ht="15">
      <c r="A33" s="659">
        <v>1</v>
      </c>
      <c r="B33" s="665" t="s">
        <v>194</v>
      </c>
      <c r="C33" s="666" t="s">
        <v>406</v>
      </c>
      <c r="D33" s="667">
        <v>2005</v>
      </c>
      <c r="E33" s="666" t="s">
        <v>248</v>
      </c>
      <c r="F33" s="914">
        <f t="shared" si="0"/>
        <v>24.99</v>
      </c>
      <c r="G33" s="916">
        <v>15.84</v>
      </c>
      <c r="H33" s="923">
        <f t="shared" si="1"/>
        <v>15.84</v>
      </c>
      <c r="I33" s="670" t="s">
        <v>295</v>
      </c>
      <c r="J33" s="650"/>
    </row>
    <row r="34" spans="1:10" ht="15">
      <c r="A34" s="659">
        <v>1</v>
      </c>
      <c r="B34" s="665" t="s">
        <v>256</v>
      </c>
      <c r="C34" s="666" t="s">
        <v>400</v>
      </c>
      <c r="D34" s="667">
        <v>2001</v>
      </c>
      <c r="E34" s="666" t="s">
        <v>248</v>
      </c>
      <c r="F34" s="914">
        <f t="shared" si="0"/>
        <v>24.99</v>
      </c>
      <c r="G34" s="916">
        <v>13.799999999999997</v>
      </c>
      <c r="H34" s="923">
        <f t="shared" si="1"/>
        <v>13.799999999999997</v>
      </c>
      <c r="I34" s="670" t="s">
        <v>295</v>
      </c>
      <c r="J34" s="650"/>
    </row>
    <row r="35" spans="1:10" ht="15">
      <c r="A35" s="659">
        <v>1</v>
      </c>
      <c r="B35" s="665" t="s">
        <v>417</v>
      </c>
      <c r="C35" s="666" t="s">
        <v>399</v>
      </c>
      <c r="D35" s="667">
        <v>2000</v>
      </c>
      <c r="E35" s="666" t="s">
        <v>248</v>
      </c>
      <c r="F35" s="914">
        <f t="shared" si="0"/>
        <v>24.99</v>
      </c>
      <c r="G35" s="916">
        <v>5.25</v>
      </c>
      <c r="H35" s="923">
        <f t="shared" si="1"/>
        <v>5.25</v>
      </c>
      <c r="I35" s="670" t="s">
        <v>295</v>
      </c>
      <c r="J35" s="650"/>
    </row>
    <row r="36" spans="1:10" ht="15">
      <c r="A36" s="659">
        <v>1</v>
      </c>
      <c r="B36" s="665" t="s">
        <v>418</v>
      </c>
      <c r="C36" s="666" t="s">
        <v>400</v>
      </c>
      <c r="D36" s="667">
        <v>2002</v>
      </c>
      <c r="E36" s="666" t="s">
        <v>248</v>
      </c>
      <c r="F36" s="914">
        <f t="shared" si="0"/>
        <v>24.99</v>
      </c>
      <c r="G36" s="916">
        <v>6</v>
      </c>
      <c r="H36" s="923">
        <f t="shared" si="1"/>
        <v>6</v>
      </c>
      <c r="I36" s="670" t="s">
        <v>295</v>
      </c>
      <c r="J36" s="650"/>
    </row>
    <row r="37" spans="1:10" ht="15">
      <c r="A37" s="659">
        <v>1</v>
      </c>
      <c r="B37" s="665" t="s">
        <v>419</v>
      </c>
      <c r="C37" s="666" t="s">
        <v>420</v>
      </c>
      <c r="D37" s="667">
        <v>1998</v>
      </c>
      <c r="E37" s="666" t="s">
        <v>248</v>
      </c>
      <c r="F37" s="914">
        <f t="shared" si="0"/>
        <v>24.99</v>
      </c>
      <c r="G37" s="916">
        <v>3.4</v>
      </c>
      <c r="H37" s="923">
        <f t="shared" si="1"/>
        <v>3.4</v>
      </c>
      <c r="I37" s="670" t="s">
        <v>295</v>
      </c>
      <c r="J37" s="650"/>
    </row>
    <row r="38" spans="1:10" ht="15">
      <c r="A38" s="659">
        <v>1</v>
      </c>
      <c r="B38" s="665" t="s">
        <v>421</v>
      </c>
      <c r="C38" s="666" t="s">
        <v>397</v>
      </c>
      <c r="D38" s="667">
        <v>2011</v>
      </c>
      <c r="E38" s="666" t="s">
        <v>248</v>
      </c>
      <c r="F38" s="914">
        <f t="shared" si="0"/>
        <v>24.99</v>
      </c>
      <c r="G38" s="916">
        <v>54</v>
      </c>
      <c r="H38" s="923">
        <f t="shared" si="1"/>
        <v>54</v>
      </c>
      <c r="I38" s="670" t="s">
        <v>295</v>
      </c>
      <c r="J38" s="650"/>
    </row>
    <row r="39" spans="1:10" ht="15">
      <c r="A39" s="659">
        <v>1</v>
      </c>
      <c r="B39" s="665" t="s">
        <v>643</v>
      </c>
      <c r="C39" s="666" t="s">
        <v>400</v>
      </c>
      <c r="D39" s="667">
        <v>2001</v>
      </c>
      <c r="E39" s="666" t="s">
        <v>248</v>
      </c>
      <c r="F39" s="914">
        <v>24.99</v>
      </c>
      <c r="G39" s="916">
        <v>0</v>
      </c>
      <c r="H39" s="923">
        <f t="shared" si="1"/>
        <v>0</v>
      </c>
      <c r="I39" s="670" t="s">
        <v>295</v>
      </c>
      <c r="J39" s="650" t="s">
        <v>711</v>
      </c>
    </row>
    <row r="40" spans="1:10" ht="15">
      <c r="A40" s="659">
        <v>1</v>
      </c>
      <c r="B40" s="665" t="s">
        <v>644</v>
      </c>
      <c r="C40" s="666" t="s">
        <v>400</v>
      </c>
      <c r="D40" s="667" t="s">
        <v>641</v>
      </c>
      <c r="E40" s="666" t="s">
        <v>248</v>
      </c>
      <c r="F40" s="913">
        <f>0.833*0.3*100</f>
        <v>24.99</v>
      </c>
      <c r="G40" s="916">
        <v>13.2</v>
      </c>
      <c r="H40" s="923">
        <f t="shared" si="1"/>
        <v>13.2</v>
      </c>
      <c r="I40" s="670" t="s">
        <v>295</v>
      </c>
      <c r="J40" s="671"/>
    </row>
    <row r="41" spans="1:10" ht="15">
      <c r="A41" s="659">
        <v>1</v>
      </c>
      <c r="B41" s="665" t="s">
        <v>195</v>
      </c>
      <c r="C41" s="666" t="s">
        <v>397</v>
      </c>
      <c r="D41" s="667">
        <v>2007</v>
      </c>
      <c r="E41" s="666" t="s">
        <v>248</v>
      </c>
      <c r="F41" s="914">
        <f t="shared" si="0"/>
        <v>24.99</v>
      </c>
      <c r="G41" s="916">
        <v>10.02</v>
      </c>
      <c r="H41" s="923">
        <f t="shared" si="1"/>
        <v>10.02</v>
      </c>
      <c r="I41" s="670" t="s">
        <v>295</v>
      </c>
      <c r="J41" s="650"/>
    </row>
    <row r="42" spans="1:10" ht="15">
      <c r="A42" s="659">
        <v>1</v>
      </c>
      <c r="B42" s="665" t="s">
        <v>645</v>
      </c>
      <c r="C42" s="666" t="s">
        <v>399</v>
      </c>
      <c r="D42" s="667" t="s">
        <v>646</v>
      </c>
      <c r="E42" s="666" t="s">
        <v>248</v>
      </c>
      <c r="F42" s="913">
        <f t="shared" si="0"/>
        <v>24.99</v>
      </c>
      <c r="G42" s="916">
        <v>12.5</v>
      </c>
      <c r="H42" s="923">
        <f t="shared" si="1"/>
        <v>12.5</v>
      </c>
      <c r="I42" s="670" t="s">
        <v>295</v>
      </c>
      <c r="J42" s="650"/>
    </row>
    <row r="43" spans="1:10" ht="15">
      <c r="A43" s="659">
        <v>1</v>
      </c>
      <c r="B43" s="665" t="s">
        <v>647</v>
      </c>
      <c r="C43" s="666" t="s">
        <v>422</v>
      </c>
      <c r="D43" s="667" t="s">
        <v>646</v>
      </c>
      <c r="E43" s="666" t="s">
        <v>248</v>
      </c>
      <c r="F43" s="913">
        <f t="shared" si="0"/>
        <v>24.99</v>
      </c>
      <c r="G43" s="916">
        <v>15</v>
      </c>
      <c r="H43" s="923">
        <f t="shared" si="1"/>
        <v>15</v>
      </c>
      <c r="I43" s="670" t="s">
        <v>295</v>
      </c>
      <c r="J43" s="650"/>
    </row>
    <row r="44" spans="1:10" ht="15">
      <c r="A44" s="659">
        <v>1</v>
      </c>
      <c r="B44" s="665" t="s">
        <v>648</v>
      </c>
      <c r="C44" s="666" t="s">
        <v>422</v>
      </c>
      <c r="D44" s="667">
        <v>2003</v>
      </c>
      <c r="E44" s="666" t="s">
        <v>248</v>
      </c>
      <c r="F44" s="914">
        <v>24.99</v>
      </c>
      <c r="G44" s="916">
        <v>0</v>
      </c>
      <c r="H44" s="923">
        <f t="shared" si="1"/>
        <v>0</v>
      </c>
      <c r="I44" s="670" t="s">
        <v>295</v>
      </c>
      <c r="J44" s="650" t="s">
        <v>711</v>
      </c>
    </row>
    <row r="45" spans="1:10" ht="15">
      <c r="A45" s="659">
        <v>1</v>
      </c>
      <c r="B45" s="665" t="s">
        <v>649</v>
      </c>
      <c r="C45" s="666" t="s">
        <v>422</v>
      </c>
      <c r="D45" s="667" t="s">
        <v>641</v>
      </c>
      <c r="E45" s="666" t="s">
        <v>248</v>
      </c>
      <c r="F45" s="913">
        <f>0.833*0.3*100</f>
        <v>24.99</v>
      </c>
      <c r="G45" s="916">
        <v>20</v>
      </c>
      <c r="H45" s="923">
        <f t="shared" si="1"/>
        <v>20</v>
      </c>
      <c r="I45" s="670" t="s">
        <v>295</v>
      </c>
      <c r="J45" s="671"/>
    </row>
    <row r="46" spans="1:10" ht="15">
      <c r="A46" s="659">
        <v>1</v>
      </c>
      <c r="B46" s="665" t="s">
        <v>423</v>
      </c>
      <c r="C46" s="666" t="s">
        <v>399</v>
      </c>
      <c r="D46" s="667">
        <v>2001</v>
      </c>
      <c r="E46" s="666" t="s">
        <v>248</v>
      </c>
      <c r="F46" s="913">
        <f t="shared" si="0"/>
        <v>24.99</v>
      </c>
      <c r="G46" s="915">
        <v>11.4</v>
      </c>
      <c r="H46" s="922">
        <f t="shared" si="1"/>
        <v>11.4</v>
      </c>
      <c r="I46" s="670" t="s">
        <v>295</v>
      </c>
      <c r="J46" s="650"/>
    </row>
    <row r="47" spans="1:10" ht="15">
      <c r="A47" s="659">
        <v>1</v>
      </c>
      <c r="B47" s="665" t="s">
        <v>62</v>
      </c>
      <c r="C47" s="666" t="s">
        <v>399</v>
      </c>
      <c r="D47" s="667">
        <v>2004</v>
      </c>
      <c r="E47" s="666" t="s">
        <v>248</v>
      </c>
      <c r="F47" s="913">
        <f t="shared" si="0"/>
        <v>24.99</v>
      </c>
      <c r="G47" s="915">
        <v>13.08</v>
      </c>
      <c r="H47" s="922">
        <f t="shared" si="1"/>
        <v>13.08</v>
      </c>
      <c r="I47" s="670" t="s">
        <v>295</v>
      </c>
      <c r="J47" s="650"/>
    </row>
    <row r="48" spans="1:10" ht="15">
      <c r="A48" s="659"/>
      <c r="B48" s="665"/>
      <c r="C48" s="666"/>
      <c r="D48" s="666"/>
      <c r="E48" s="666"/>
      <c r="F48" s="668"/>
      <c r="G48" s="669"/>
      <c r="H48" s="922"/>
      <c r="I48" s="670"/>
      <c r="J48" s="650"/>
    </row>
    <row r="49" spans="1:10" ht="15.75" thickBot="1">
      <c r="A49" s="659"/>
      <c r="B49" s="672"/>
      <c r="C49" s="673"/>
      <c r="D49" s="673"/>
      <c r="E49" s="674"/>
      <c r="F49" s="675"/>
      <c r="G49" s="676"/>
      <c r="H49" s="924"/>
      <c r="I49" s="677"/>
      <c r="J49" s="650"/>
    </row>
    <row r="50" spans="1:10" ht="21.75" thickBot="1" thickTop="1">
      <c r="A50" s="678">
        <f>+SUM(A9:A47)</f>
        <v>39</v>
      </c>
      <c r="B50" s="679" t="s">
        <v>257</v>
      </c>
      <c r="C50" s="679"/>
      <c r="D50" s="679"/>
      <c r="E50" s="680"/>
      <c r="F50" s="681"/>
      <c r="G50" s="918">
        <f>SUM(G9:G47)</f>
        <v>656.48</v>
      </c>
      <c r="H50" s="925">
        <f>SUM(H9:H47)</f>
        <v>656.48</v>
      </c>
      <c r="I50" s="682"/>
      <c r="J50" s="3"/>
    </row>
    <row r="51" spans="1:10" ht="15.75" thickTop="1">
      <c r="A51" s="683"/>
      <c r="B51" s="684"/>
      <c r="C51" s="684"/>
      <c r="D51" s="684"/>
      <c r="E51" s="685"/>
      <c r="F51" s="686"/>
      <c r="G51" s="687"/>
      <c r="H51" s="926"/>
      <c r="I51" s="688"/>
      <c r="J51" s="689"/>
    </row>
    <row r="52" spans="1:10" ht="15.75" thickBot="1">
      <c r="A52" s="646"/>
      <c r="B52" s="684"/>
      <c r="C52" s="684"/>
      <c r="D52" s="684"/>
      <c r="E52" s="684"/>
      <c r="F52" s="690"/>
      <c r="G52" s="691"/>
      <c r="H52" s="926"/>
      <c r="I52" s="692"/>
      <c r="J52" s="650"/>
    </row>
    <row r="53" spans="1:10" ht="15.75" thickBot="1">
      <c r="A53" s="693"/>
      <c r="B53" s="694" t="s">
        <v>340</v>
      </c>
      <c r="C53" s="695"/>
      <c r="D53" s="695"/>
      <c r="E53" s="696"/>
      <c r="F53" s="697"/>
      <c r="G53" s="698"/>
      <c r="H53" s="927"/>
      <c r="I53" s="699"/>
      <c r="J53" s="650"/>
    </row>
    <row r="54" spans="1:10" ht="15">
      <c r="A54" s="659"/>
      <c r="B54" s="700"/>
      <c r="C54" s="661"/>
      <c r="D54" s="661"/>
      <c r="E54" s="661"/>
      <c r="F54" s="701"/>
      <c r="G54" s="702"/>
      <c r="H54" s="928"/>
      <c r="I54" s="703"/>
      <c r="J54" s="650"/>
    </row>
    <row r="55" spans="1:10" ht="15">
      <c r="A55" s="659">
        <v>1</v>
      </c>
      <c r="B55" s="704" t="s">
        <v>196</v>
      </c>
      <c r="C55" s="666" t="s">
        <v>408</v>
      </c>
      <c r="D55" s="667">
        <v>2008</v>
      </c>
      <c r="E55" s="666" t="s">
        <v>47</v>
      </c>
      <c r="F55" s="705">
        <v>100</v>
      </c>
      <c r="G55" s="917">
        <v>3.298</v>
      </c>
      <c r="H55" s="928">
        <f>+G55*F55/100</f>
        <v>3.298</v>
      </c>
      <c r="I55" s="706" t="s">
        <v>295</v>
      </c>
      <c r="J55" s="650"/>
    </row>
    <row r="56" spans="1:10" ht="15">
      <c r="A56" s="659">
        <v>1</v>
      </c>
      <c r="B56" s="704" t="s">
        <v>227</v>
      </c>
      <c r="C56" s="661" t="s">
        <v>424</v>
      </c>
      <c r="D56" s="707">
        <v>2011</v>
      </c>
      <c r="E56" s="666" t="s">
        <v>47</v>
      </c>
      <c r="F56" s="705">
        <v>100</v>
      </c>
      <c r="G56" s="917">
        <v>0.999</v>
      </c>
      <c r="H56" s="928">
        <f>+G56*F56/100</f>
        <v>0.9990000000000001</v>
      </c>
      <c r="I56" s="706" t="s">
        <v>295</v>
      </c>
      <c r="J56" s="650"/>
    </row>
    <row r="57" spans="1:10" ht="15">
      <c r="A57" s="659">
        <v>1</v>
      </c>
      <c r="B57" s="704" t="s">
        <v>650</v>
      </c>
      <c r="C57" s="661" t="s">
        <v>425</v>
      </c>
      <c r="D57" s="707">
        <v>2010</v>
      </c>
      <c r="E57" s="666" t="s">
        <v>47</v>
      </c>
      <c r="F57" s="705">
        <v>100</v>
      </c>
      <c r="G57" s="917">
        <v>0.344</v>
      </c>
      <c r="H57" s="928">
        <f>+G57*F57/100</f>
        <v>0.344</v>
      </c>
      <c r="I57" s="706" t="s">
        <v>295</v>
      </c>
      <c r="J57" s="650"/>
    </row>
    <row r="58" spans="1:10" ht="15">
      <c r="A58" s="659">
        <v>1</v>
      </c>
      <c r="B58" s="704" t="s">
        <v>651</v>
      </c>
      <c r="C58" s="661" t="s">
        <v>425</v>
      </c>
      <c r="D58" s="707">
        <v>2010</v>
      </c>
      <c r="E58" s="666" t="s">
        <v>47</v>
      </c>
      <c r="F58" s="705">
        <v>100</v>
      </c>
      <c r="G58" s="917">
        <v>0.384</v>
      </c>
      <c r="H58" s="928">
        <f>+G58*F58/100</f>
        <v>0.384</v>
      </c>
      <c r="I58" s="706" t="s">
        <v>295</v>
      </c>
      <c r="J58" s="650"/>
    </row>
    <row r="59" spans="1:10" ht="15">
      <c r="A59" s="659">
        <v>1</v>
      </c>
      <c r="B59" s="704" t="s">
        <v>652</v>
      </c>
      <c r="C59" s="661" t="s">
        <v>426</v>
      </c>
      <c r="D59" s="707">
        <v>2010</v>
      </c>
      <c r="E59" s="666" t="s">
        <v>653</v>
      </c>
      <c r="F59" s="708">
        <v>86.12</v>
      </c>
      <c r="G59" s="917">
        <v>0.1044</v>
      </c>
      <c r="H59" s="929">
        <v>0.104</v>
      </c>
      <c r="I59" s="706" t="s">
        <v>295</v>
      </c>
      <c r="J59" s="650"/>
    </row>
    <row r="60" spans="1:10" ht="15">
      <c r="A60" s="659">
        <v>1</v>
      </c>
      <c r="B60" s="704" t="s">
        <v>228</v>
      </c>
      <c r="C60" s="661" t="s">
        <v>425</v>
      </c>
      <c r="D60" s="707">
        <v>2011</v>
      </c>
      <c r="E60" s="666" t="s">
        <v>248</v>
      </c>
      <c r="F60" s="708">
        <f>0.833*0.3*100</f>
        <v>24.99</v>
      </c>
      <c r="G60" s="917">
        <v>3</v>
      </c>
      <c r="H60" s="929">
        <v>3</v>
      </c>
      <c r="I60" s="706" t="s">
        <v>295</v>
      </c>
      <c r="J60" s="650"/>
    </row>
    <row r="61" spans="1:10" ht="15">
      <c r="A61" s="659">
        <v>1</v>
      </c>
      <c r="B61" s="704" t="s">
        <v>229</v>
      </c>
      <c r="C61" s="709" t="s">
        <v>425</v>
      </c>
      <c r="D61" s="710">
        <v>2011</v>
      </c>
      <c r="E61" s="666" t="s">
        <v>248</v>
      </c>
      <c r="F61" s="708">
        <f>0.833*0.3*100</f>
        <v>24.99</v>
      </c>
      <c r="G61" s="917">
        <v>1</v>
      </c>
      <c r="H61" s="929">
        <v>1</v>
      </c>
      <c r="I61" s="706" t="s">
        <v>295</v>
      </c>
      <c r="J61" s="650"/>
    </row>
    <row r="62" spans="1:10" ht="15">
      <c r="A62" s="659">
        <v>1</v>
      </c>
      <c r="B62" s="704" t="s">
        <v>230</v>
      </c>
      <c r="C62" s="666" t="s">
        <v>406</v>
      </c>
      <c r="D62" s="667">
        <v>2011</v>
      </c>
      <c r="E62" s="666" t="s">
        <v>248</v>
      </c>
      <c r="F62" s="708">
        <f>0.833*0.3*100</f>
        <v>24.99</v>
      </c>
      <c r="G62" s="917">
        <v>1</v>
      </c>
      <c r="H62" s="929">
        <v>1</v>
      </c>
      <c r="I62" s="706" t="s">
        <v>295</v>
      </c>
      <c r="J62" s="650"/>
    </row>
    <row r="63" spans="1:10" ht="15">
      <c r="A63" s="659"/>
      <c r="B63" s="704"/>
      <c r="C63" s="666"/>
      <c r="D63" s="667"/>
      <c r="E63" s="666"/>
      <c r="F63" s="708"/>
      <c r="G63" s="711"/>
      <c r="H63" s="928"/>
      <c r="I63" s="706"/>
      <c r="J63" s="650"/>
    </row>
    <row r="64" spans="1:10" ht="15">
      <c r="A64" s="659">
        <v>1</v>
      </c>
      <c r="B64" s="704" t="s">
        <v>654</v>
      </c>
      <c r="C64" s="661" t="s">
        <v>426</v>
      </c>
      <c r="D64" s="707">
        <v>2011</v>
      </c>
      <c r="E64" s="666" t="s">
        <v>653</v>
      </c>
      <c r="F64" s="708">
        <v>86.12</v>
      </c>
      <c r="G64" s="917">
        <v>5.206</v>
      </c>
      <c r="H64" s="928">
        <f>+G64</f>
        <v>5.206</v>
      </c>
      <c r="I64" s="706" t="s">
        <v>295</v>
      </c>
      <c r="J64" s="671"/>
    </row>
    <row r="65" spans="1:10" ht="15.75" thickBot="1">
      <c r="A65" s="659"/>
      <c r="B65" s="700"/>
      <c r="C65" s="712"/>
      <c r="D65" s="712"/>
      <c r="E65" s="713"/>
      <c r="F65" s="714"/>
      <c r="G65" s="715"/>
      <c r="H65" s="928"/>
      <c r="I65" s="716"/>
      <c r="J65" s="650"/>
    </row>
    <row r="66" spans="1:10" ht="21.75" thickBot="1" thickTop="1">
      <c r="A66" s="717">
        <f>+SUM(A55:A64)</f>
        <v>9</v>
      </c>
      <c r="B66" s="718" t="s">
        <v>341</v>
      </c>
      <c r="C66" s="719"/>
      <c r="D66" s="719"/>
      <c r="E66" s="719"/>
      <c r="F66" s="719"/>
      <c r="G66" s="918">
        <f>SUM(G55:G64)</f>
        <v>15.3354</v>
      </c>
      <c r="H66" s="925">
        <f>SUM(H55:H64)</f>
        <v>15.335</v>
      </c>
      <c r="I66" s="720"/>
      <c r="J66" s="650"/>
    </row>
    <row r="67" spans="1:10" ht="16.5" thickBot="1" thickTop="1">
      <c r="A67" s="646"/>
      <c r="B67" s="647"/>
      <c r="C67" s="647"/>
      <c r="D67" s="647"/>
      <c r="E67" s="647"/>
      <c r="F67" s="647"/>
      <c r="G67" s="721"/>
      <c r="H67" s="930"/>
      <c r="I67" s="649"/>
      <c r="J67" s="650"/>
    </row>
    <row r="68" spans="1:10" ht="15.75" thickBot="1">
      <c r="A68" s="646"/>
      <c r="B68" s="722" t="s">
        <v>342</v>
      </c>
      <c r="C68" s="679"/>
      <c r="D68" s="679"/>
      <c r="E68" s="679"/>
      <c r="F68" s="679"/>
      <c r="G68" s="919">
        <f>+G50+G66</f>
        <v>671.8154000000001</v>
      </c>
      <c r="H68" s="931">
        <f>+H50+H66</f>
        <v>671.815</v>
      </c>
      <c r="I68" s="649"/>
      <c r="J68" s="650"/>
    </row>
    <row r="69" spans="1:10" ht="15">
      <c r="A69" s="646"/>
      <c r="B69" s="647"/>
      <c r="C69" s="647"/>
      <c r="D69" s="647"/>
      <c r="E69" s="647"/>
      <c r="F69" s="647"/>
      <c r="G69" s="648"/>
      <c r="H69" s="649"/>
      <c r="I69" s="649"/>
      <c r="J69" s="650"/>
    </row>
    <row r="70" spans="1:10" ht="15">
      <c r="A70" s="646"/>
      <c r="B70" s="723" t="s">
        <v>655</v>
      </c>
      <c r="C70" s="724"/>
      <c r="D70" s="724"/>
      <c r="E70" s="647"/>
      <c r="F70" s="647"/>
      <c r="G70" s="647"/>
      <c r="H70" s="932"/>
      <c r="I70" s="649"/>
      <c r="J70" s="650"/>
    </row>
    <row r="71" spans="1:10" ht="15">
      <c r="A71" s="646"/>
      <c r="B71" s="723" t="s">
        <v>656</v>
      </c>
      <c r="C71" s="647"/>
      <c r="D71" s="647"/>
      <c r="E71" s="647"/>
      <c r="F71" s="647"/>
      <c r="G71" s="647"/>
      <c r="H71" s="649"/>
      <c r="I71" s="649"/>
      <c r="J71" s="650"/>
    </row>
    <row r="72" spans="1:10" ht="15">
      <c r="A72" s="646"/>
      <c r="B72" s="647"/>
      <c r="C72" s="647"/>
      <c r="D72" s="647"/>
      <c r="E72" s="647"/>
      <c r="F72" s="647"/>
      <c r="G72" s="647"/>
      <c r="H72" s="649"/>
      <c r="I72" s="649"/>
      <c r="J72" s="650"/>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91"/>
  <sheetViews>
    <sheetView zoomScalePageLayoutView="0" workbookViewId="0" topLeftCell="A67">
      <selection activeCell="G82" sqref="G82"/>
    </sheetView>
  </sheetViews>
  <sheetFormatPr defaultColWidth="9.140625" defaultRowHeight="12.75"/>
  <cols>
    <col min="1" max="1" width="7.57421875" style="164" customWidth="1"/>
    <col min="2" max="2" width="23.140625" style="164" bestFit="1" customWidth="1"/>
    <col min="3" max="3" width="34.7109375" style="164" bestFit="1" customWidth="1"/>
    <col min="4" max="4" width="11.57421875" style="164" bestFit="1" customWidth="1"/>
    <col min="5" max="5" width="30.57421875" style="164" bestFit="1" customWidth="1"/>
    <col min="6" max="7" width="15.421875" style="164" customWidth="1"/>
    <col min="8" max="8" width="10.8515625" style="164" bestFit="1" customWidth="1"/>
    <col min="9" max="9" width="13.57421875" style="164" bestFit="1" customWidth="1"/>
    <col min="10" max="10" width="15.140625" style="164" bestFit="1" customWidth="1"/>
    <col min="11" max="11" width="14.00390625" style="164" customWidth="1"/>
    <col min="12" max="12" width="15.140625" style="164" customWidth="1"/>
    <col min="13" max="13" width="9.140625" style="164" customWidth="1"/>
    <col min="14" max="16384" width="9.140625" style="164" customWidth="1"/>
  </cols>
  <sheetData>
    <row r="1" spans="1:13" ht="12.75">
      <c r="A1" s="12"/>
      <c r="B1" s="12"/>
      <c r="C1" s="12"/>
      <c r="D1" s="12"/>
      <c r="E1" s="12"/>
      <c r="F1" s="12"/>
      <c r="G1" s="12"/>
      <c r="H1" s="12"/>
      <c r="I1" s="12"/>
      <c r="J1" s="12"/>
      <c r="K1" s="12"/>
      <c r="L1" s="12"/>
      <c r="M1" s="12"/>
    </row>
    <row r="2" spans="1:13" ht="15.75">
      <c r="A2" s="507" t="s">
        <v>657</v>
      </c>
      <c r="B2" s="12"/>
      <c r="C2" s="12"/>
      <c r="D2" s="12"/>
      <c r="E2" s="12"/>
      <c r="F2" s="12"/>
      <c r="G2" s="12"/>
      <c r="H2" s="12"/>
      <c r="I2" s="12"/>
      <c r="J2" s="12"/>
      <c r="K2" s="12"/>
      <c r="L2" s="12"/>
      <c r="M2" s="12"/>
    </row>
    <row r="3" spans="1:13" s="506" customFormat="1" ht="15">
      <c r="A3" s="504"/>
      <c r="B3" s="512"/>
      <c r="C3" s="512"/>
      <c r="D3" s="512"/>
      <c r="E3" s="503"/>
      <c r="F3" s="503"/>
      <c r="G3" s="503"/>
      <c r="H3" s="503"/>
      <c r="I3" s="503"/>
      <c r="J3" s="503"/>
      <c r="K3" s="514"/>
      <c r="L3" s="513"/>
      <c r="M3" s="505"/>
    </row>
    <row r="4" spans="1:13" s="506" customFormat="1" ht="15.75">
      <c r="A4" s="726" t="s">
        <v>516</v>
      </c>
      <c r="B4" s="512"/>
      <c r="C4" s="512"/>
      <c r="D4" s="512"/>
      <c r="E4" s="503"/>
      <c r="F4" s="503"/>
      <c r="G4" s="503"/>
      <c r="H4" s="503"/>
      <c r="I4" s="503"/>
      <c r="J4" s="503"/>
      <c r="K4" s="514"/>
      <c r="L4" s="513"/>
      <c r="M4" s="505"/>
    </row>
    <row r="5" spans="1:13" s="506" customFormat="1" ht="15">
      <c r="A5" s="504"/>
      <c r="B5" s="727" t="s">
        <v>427</v>
      </c>
      <c r="C5" s="512"/>
      <c r="D5" s="512"/>
      <c r="E5" s="503"/>
      <c r="F5" s="503"/>
      <c r="G5" s="503"/>
      <c r="H5" s="503"/>
      <c r="I5" s="503"/>
      <c r="J5" s="503"/>
      <c r="K5" s="514"/>
      <c r="L5" s="513"/>
      <c r="M5" s="505"/>
    </row>
    <row r="6" spans="1:13" s="506" customFormat="1" ht="15.75" thickBot="1">
      <c r="A6" s="504"/>
      <c r="B6" s="512"/>
      <c r="C6" s="512"/>
      <c r="D6" s="512"/>
      <c r="E6" s="503"/>
      <c r="F6" s="503"/>
      <c r="G6" s="503"/>
      <c r="H6" s="503"/>
      <c r="I6" s="503"/>
      <c r="J6" s="503"/>
      <c r="K6" s="514"/>
      <c r="L6" s="505"/>
      <c r="M6" s="505"/>
    </row>
    <row r="7" spans="1:12" s="520" customFormat="1" ht="79.5" customHeight="1">
      <c r="A7" s="728" t="s">
        <v>344</v>
      </c>
      <c r="B7" s="728" t="s">
        <v>4</v>
      </c>
      <c r="C7" s="516" t="s">
        <v>42</v>
      </c>
      <c r="D7" s="516" t="s">
        <v>5</v>
      </c>
      <c r="E7" s="516" t="s">
        <v>43</v>
      </c>
      <c r="F7" s="517" t="s">
        <v>567</v>
      </c>
      <c r="G7" s="516" t="s">
        <v>18</v>
      </c>
      <c r="H7" s="516" t="s">
        <v>44</v>
      </c>
      <c r="I7" s="516" t="s">
        <v>45</v>
      </c>
      <c r="J7" s="516" t="s">
        <v>285</v>
      </c>
      <c r="K7" s="518" t="s">
        <v>287</v>
      </c>
      <c r="L7" s="519" t="s">
        <v>288</v>
      </c>
    </row>
    <row r="8" spans="1:12" s="588" customFormat="1" ht="15.75" thickBot="1">
      <c r="A8" s="729"/>
      <c r="B8" s="590"/>
      <c r="C8" s="730"/>
      <c r="D8" s="730"/>
      <c r="E8" s="590"/>
      <c r="F8" s="731"/>
      <c r="G8" s="730"/>
      <c r="H8" s="586"/>
      <c r="I8" s="586"/>
      <c r="J8" s="732"/>
      <c r="K8" s="733"/>
      <c r="L8" s="733"/>
    </row>
    <row r="9" spans="1:12" s="506" customFormat="1" ht="15">
      <c r="A9" s="513"/>
      <c r="B9" s="734"/>
      <c r="C9" s="735"/>
      <c r="D9" s="736"/>
      <c r="E9" s="735"/>
      <c r="F9" s="737"/>
      <c r="G9" s="735"/>
      <c r="H9" s="735"/>
      <c r="I9" s="735"/>
      <c r="J9" s="736"/>
      <c r="K9" s="736"/>
      <c r="L9" s="527"/>
    </row>
    <row r="10" spans="1:12" s="506" customFormat="1" ht="14.25">
      <c r="A10" s="513">
        <v>1</v>
      </c>
      <c r="B10" s="565" t="s">
        <v>428</v>
      </c>
      <c r="C10" s="584" t="s">
        <v>429</v>
      </c>
      <c r="D10" s="738">
        <v>41914</v>
      </c>
      <c r="E10" s="739" t="s">
        <v>251</v>
      </c>
      <c r="F10" s="740">
        <v>100</v>
      </c>
      <c r="G10" s="584"/>
      <c r="H10" s="584" t="s">
        <v>517</v>
      </c>
      <c r="I10" s="584" t="s">
        <v>431</v>
      </c>
      <c r="J10" s="741">
        <v>2.004</v>
      </c>
      <c r="K10" s="742">
        <f>+J10*F10%</f>
        <v>2.004</v>
      </c>
      <c r="L10" s="533" t="s">
        <v>289</v>
      </c>
    </row>
    <row r="11" spans="1:12" s="506" customFormat="1" ht="14.25">
      <c r="A11" s="513">
        <v>1</v>
      </c>
      <c r="B11" s="565" t="s">
        <v>432</v>
      </c>
      <c r="C11" s="584" t="s">
        <v>433</v>
      </c>
      <c r="D11" s="738">
        <v>42704</v>
      </c>
      <c r="E11" s="739" t="s">
        <v>251</v>
      </c>
      <c r="F11" s="740">
        <v>100</v>
      </c>
      <c r="G11" s="584"/>
      <c r="H11" s="584" t="s">
        <v>517</v>
      </c>
      <c r="I11" s="584" t="s">
        <v>431</v>
      </c>
      <c r="J11" s="741">
        <v>1.287</v>
      </c>
      <c r="K11" s="742">
        <f>+J11*F11%</f>
        <v>1.287</v>
      </c>
      <c r="L11" s="533" t="s">
        <v>289</v>
      </c>
    </row>
    <row r="12" spans="1:12" s="506" customFormat="1" ht="14.25">
      <c r="A12" s="513">
        <v>1</v>
      </c>
      <c r="B12" s="565" t="s">
        <v>434</v>
      </c>
      <c r="C12" s="584" t="s">
        <v>435</v>
      </c>
      <c r="D12" s="738">
        <v>42656</v>
      </c>
      <c r="E12" s="739" t="s">
        <v>251</v>
      </c>
      <c r="F12" s="740">
        <v>100</v>
      </c>
      <c r="G12" s="584"/>
      <c r="H12" s="584" t="s">
        <v>517</v>
      </c>
      <c r="I12" s="584" t="s">
        <v>431</v>
      </c>
      <c r="J12" s="741">
        <v>4.404</v>
      </c>
      <c r="K12" s="742">
        <f>+J12*F12%</f>
        <v>4.404</v>
      </c>
      <c r="L12" s="533" t="s">
        <v>289</v>
      </c>
    </row>
    <row r="13" spans="1:12" s="506" customFormat="1" ht="14.25">
      <c r="A13" s="513">
        <v>1</v>
      </c>
      <c r="B13" s="565" t="s">
        <v>436</v>
      </c>
      <c r="C13" s="584" t="s">
        <v>437</v>
      </c>
      <c r="D13" s="584">
        <v>2010</v>
      </c>
      <c r="E13" s="739" t="s">
        <v>438</v>
      </c>
      <c r="F13" s="740">
        <v>100</v>
      </c>
      <c r="G13" s="584" t="s">
        <v>430</v>
      </c>
      <c r="H13" s="584" t="s">
        <v>517</v>
      </c>
      <c r="I13" s="584" t="s">
        <v>439</v>
      </c>
      <c r="J13" s="741">
        <v>3.7</v>
      </c>
      <c r="K13" s="742">
        <f>+J13*F13%</f>
        <v>3.7</v>
      </c>
      <c r="L13" s="533" t="s">
        <v>289</v>
      </c>
    </row>
    <row r="14" spans="1:12" s="506" customFormat="1" ht="14.25">
      <c r="A14" s="513">
        <v>1</v>
      </c>
      <c r="B14" s="565" t="s">
        <v>440</v>
      </c>
      <c r="C14" s="584" t="s">
        <v>441</v>
      </c>
      <c r="D14" s="584">
        <v>2010</v>
      </c>
      <c r="E14" s="739" t="s">
        <v>438</v>
      </c>
      <c r="F14" s="740">
        <v>100</v>
      </c>
      <c r="G14" s="584" t="s">
        <v>430</v>
      </c>
      <c r="H14" s="584" t="s">
        <v>517</v>
      </c>
      <c r="I14" s="584" t="s">
        <v>442</v>
      </c>
      <c r="J14" s="741">
        <v>33.5</v>
      </c>
      <c r="K14" s="742">
        <f>+J14*F14%</f>
        <v>33.5</v>
      </c>
      <c r="L14" s="533" t="s">
        <v>289</v>
      </c>
    </row>
    <row r="15" spans="1:12" s="506" customFormat="1" ht="14.25">
      <c r="A15" s="513">
        <v>1</v>
      </c>
      <c r="B15" s="565" t="s">
        <v>443</v>
      </c>
      <c r="C15" s="584" t="s">
        <v>437</v>
      </c>
      <c r="D15" s="584">
        <v>2007</v>
      </c>
      <c r="E15" s="739" t="s">
        <v>438</v>
      </c>
      <c r="F15" s="740">
        <v>100</v>
      </c>
      <c r="G15" s="584" t="s">
        <v>430</v>
      </c>
      <c r="H15" s="584" t="s">
        <v>517</v>
      </c>
      <c r="I15" s="584" t="s">
        <v>439</v>
      </c>
      <c r="J15" s="741">
        <v>6</v>
      </c>
      <c r="K15" s="742">
        <f>+J15*F15%</f>
        <v>6</v>
      </c>
      <c r="L15" s="533" t="s">
        <v>289</v>
      </c>
    </row>
    <row r="16" spans="1:12" s="506" customFormat="1" ht="14.25">
      <c r="A16" s="513">
        <v>1</v>
      </c>
      <c r="B16" s="565" t="s">
        <v>444</v>
      </c>
      <c r="C16" s="584" t="s">
        <v>437</v>
      </c>
      <c r="D16" s="584">
        <v>1959</v>
      </c>
      <c r="E16" s="739" t="s">
        <v>438</v>
      </c>
      <c r="F16" s="740">
        <v>100</v>
      </c>
      <c r="G16" s="584" t="s">
        <v>430</v>
      </c>
      <c r="H16" s="584" t="s">
        <v>517</v>
      </c>
      <c r="I16" s="584" t="s">
        <v>439</v>
      </c>
      <c r="J16" s="741">
        <v>3</v>
      </c>
      <c r="K16" s="742">
        <f>+J16*F16%</f>
        <v>3</v>
      </c>
      <c r="L16" s="533" t="s">
        <v>289</v>
      </c>
    </row>
    <row r="17" spans="1:12" s="506" customFormat="1" ht="14.25">
      <c r="A17" s="513">
        <v>1</v>
      </c>
      <c r="B17" s="565" t="s">
        <v>445</v>
      </c>
      <c r="C17" s="584" t="s">
        <v>441</v>
      </c>
      <c r="D17" s="584">
        <v>2010</v>
      </c>
      <c r="E17" s="739" t="s">
        <v>438</v>
      </c>
      <c r="F17" s="740">
        <v>100</v>
      </c>
      <c r="G17" s="584" t="s">
        <v>430</v>
      </c>
      <c r="H17" s="584" t="s">
        <v>517</v>
      </c>
      <c r="I17" s="584" t="s">
        <v>442</v>
      </c>
      <c r="J17" s="741">
        <v>5</v>
      </c>
      <c r="K17" s="742">
        <f>+J17*F17%</f>
        <v>5</v>
      </c>
      <c r="L17" s="533" t="s">
        <v>289</v>
      </c>
    </row>
    <row r="18" spans="1:12" s="506" customFormat="1" ht="14.25">
      <c r="A18" s="513">
        <v>1</v>
      </c>
      <c r="B18" s="565" t="s">
        <v>446</v>
      </c>
      <c r="C18" s="584" t="s">
        <v>441</v>
      </c>
      <c r="D18" s="584">
        <v>2011</v>
      </c>
      <c r="E18" s="739" t="s">
        <v>438</v>
      </c>
      <c r="F18" s="740">
        <v>100</v>
      </c>
      <c r="G18" s="584" t="s">
        <v>430</v>
      </c>
      <c r="H18" s="584" t="s">
        <v>517</v>
      </c>
      <c r="I18" s="584" t="s">
        <v>442</v>
      </c>
      <c r="J18" s="741">
        <v>5.12</v>
      </c>
      <c r="K18" s="742">
        <f>+J18*F18%</f>
        <v>5.12</v>
      </c>
      <c r="L18" s="533" t="s">
        <v>289</v>
      </c>
    </row>
    <row r="19" spans="1:12" s="506" customFormat="1" ht="14.25">
      <c r="A19" s="513">
        <v>1</v>
      </c>
      <c r="B19" s="565" t="s">
        <v>447</v>
      </c>
      <c r="C19" s="584" t="s">
        <v>441</v>
      </c>
      <c r="D19" s="584">
        <v>2012</v>
      </c>
      <c r="E19" s="739" t="s">
        <v>438</v>
      </c>
      <c r="F19" s="740">
        <v>100</v>
      </c>
      <c r="G19" s="584" t="s">
        <v>430</v>
      </c>
      <c r="H19" s="584" t="s">
        <v>517</v>
      </c>
      <c r="I19" s="584" t="s">
        <v>439</v>
      </c>
      <c r="J19" s="741">
        <v>1.7</v>
      </c>
      <c r="K19" s="742">
        <f>+J19*F19%</f>
        <v>1.7</v>
      </c>
      <c r="L19" s="533" t="s">
        <v>289</v>
      </c>
    </row>
    <row r="20" spans="1:12" s="506" customFormat="1" ht="57">
      <c r="A20" s="513">
        <v>1</v>
      </c>
      <c r="B20" s="565" t="s">
        <v>448</v>
      </c>
      <c r="C20" s="584" t="s">
        <v>449</v>
      </c>
      <c r="D20" s="584">
        <v>1999</v>
      </c>
      <c r="E20" s="739" t="s">
        <v>438</v>
      </c>
      <c r="F20" s="740">
        <v>100</v>
      </c>
      <c r="G20" s="520" t="s">
        <v>450</v>
      </c>
      <c r="H20" s="520" t="s">
        <v>556</v>
      </c>
      <c r="I20" s="584" t="s">
        <v>451</v>
      </c>
      <c r="J20" s="741">
        <v>7</v>
      </c>
      <c r="K20" s="742">
        <f>+J20*F20%</f>
        <v>7</v>
      </c>
      <c r="L20" s="533" t="s">
        <v>289</v>
      </c>
    </row>
    <row r="21" spans="1:12" s="506" customFormat="1" ht="14.25">
      <c r="A21" s="513">
        <v>1</v>
      </c>
      <c r="B21" s="565" t="s">
        <v>453</v>
      </c>
      <c r="C21" s="584" t="s">
        <v>555</v>
      </c>
      <c r="D21" s="584">
        <v>2008</v>
      </c>
      <c r="E21" s="739" t="s">
        <v>438</v>
      </c>
      <c r="F21" s="740">
        <v>100</v>
      </c>
      <c r="G21" s="584" t="s">
        <v>452</v>
      </c>
      <c r="H21" s="584" t="s">
        <v>517</v>
      </c>
      <c r="I21" s="584" t="s">
        <v>439</v>
      </c>
      <c r="J21" s="741">
        <v>36</v>
      </c>
      <c r="K21" s="742">
        <f>+J21*F21%</f>
        <v>36</v>
      </c>
      <c r="L21" s="533" t="s">
        <v>289</v>
      </c>
    </row>
    <row r="22" spans="1:12" s="506" customFormat="1" ht="14.25">
      <c r="A22" s="513">
        <v>1</v>
      </c>
      <c r="B22" s="565" t="s">
        <v>454</v>
      </c>
      <c r="C22" s="584" t="s">
        <v>441</v>
      </c>
      <c r="D22" s="584">
        <v>2010</v>
      </c>
      <c r="E22" s="739" t="s">
        <v>438</v>
      </c>
      <c r="F22" s="740">
        <v>100</v>
      </c>
      <c r="G22" s="584" t="s">
        <v>452</v>
      </c>
      <c r="H22" s="584" t="s">
        <v>517</v>
      </c>
      <c r="I22" s="584" t="s">
        <v>439</v>
      </c>
      <c r="J22" s="741">
        <v>30</v>
      </c>
      <c r="K22" s="742">
        <f>+J22*F22%</f>
        <v>30</v>
      </c>
      <c r="L22" s="533" t="s">
        <v>289</v>
      </c>
    </row>
    <row r="23" spans="1:12" s="506" customFormat="1" ht="14.25">
      <c r="A23" s="513">
        <v>1</v>
      </c>
      <c r="B23" s="565" t="s">
        <v>455</v>
      </c>
      <c r="C23" s="584" t="s">
        <v>555</v>
      </c>
      <c r="D23" s="584">
        <v>2014</v>
      </c>
      <c r="E23" s="739" t="s">
        <v>438</v>
      </c>
      <c r="F23" s="740">
        <v>100</v>
      </c>
      <c r="G23" s="584" t="s">
        <v>452</v>
      </c>
      <c r="H23" s="584" t="s">
        <v>517</v>
      </c>
      <c r="I23" s="584" t="s">
        <v>439</v>
      </c>
      <c r="J23" s="741">
        <v>12.5</v>
      </c>
      <c r="K23" s="742">
        <f>+J23*F23%</f>
        <v>12.5</v>
      </c>
      <c r="L23" s="533" t="s">
        <v>289</v>
      </c>
    </row>
    <row r="24" spans="1:12" s="506" customFormat="1" ht="14.25">
      <c r="A24" s="513">
        <v>1</v>
      </c>
      <c r="B24" s="565" t="s">
        <v>456</v>
      </c>
      <c r="C24" s="584" t="s">
        <v>437</v>
      </c>
      <c r="D24" s="584">
        <v>2000</v>
      </c>
      <c r="E24" s="739" t="s">
        <v>438</v>
      </c>
      <c r="F24" s="740">
        <v>100</v>
      </c>
      <c r="G24" s="584" t="s">
        <v>452</v>
      </c>
      <c r="H24" s="584" t="s">
        <v>517</v>
      </c>
      <c r="I24" s="584" t="s">
        <v>439</v>
      </c>
      <c r="J24" s="741">
        <v>10</v>
      </c>
      <c r="K24" s="742">
        <f>+J24*F24%</f>
        <v>10</v>
      </c>
      <c r="L24" s="533" t="s">
        <v>289</v>
      </c>
    </row>
    <row r="25" spans="1:12" s="506" customFormat="1" ht="15" thickBot="1">
      <c r="A25" s="513">
        <v>1</v>
      </c>
      <c r="B25" s="743" t="s">
        <v>554</v>
      </c>
      <c r="C25" s="744" t="s">
        <v>555</v>
      </c>
      <c r="D25" s="744">
        <v>2017</v>
      </c>
      <c r="E25" s="745" t="s">
        <v>438</v>
      </c>
      <c r="F25" s="746">
        <v>100</v>
      </c>
      <c r="G25" s="744" t="s">
        <v>452</v>
      </c>
      <c r="H25" s="744" t="s">
        <v>517</v>
      </c>
      <c r="I25" s="744" t="s">
        <v>439</v>
      </c>
      <c r="J25" s="747">
        <v>4.6</v>
      </c>
      <c r="K25" s="748">
        <f>+J25*F25%</f>
        <v>4.6</v>
      </c>
      <c r="L25" s="749" t="s">
        <v>289</v>
      </c>
    </row>
    <row r="26" spans="1:12" s="506" customFormat="1" ht="15" thickBot="1">
      <c r="A26" s="513"/>
      <c r="B26" s="512"/>
      <c r="C26" s="512"/>
      <c r="D26" s="512"/>
      <c r="E26" s="512"/>
      <c r="F26" s="512"/>
      <c r="G26" s="512"/>
      <c r="H26" s="512"/>
      <c r="I26" s="512"/>
      <c r="J26" s="512"/>
      <c r="K26" s="512"/>
      <c r="L26" s="512"/>
    </row>
    <row r="27" spans="1:12" s="506" customFormat="1" ht="21" thickBot="1">
      <c r="A27" s="750">
        <f>+SUM(A10:A26)</f>
        <v>16</v>
      </c>
      <c r="B27" s="751" t="s">
        <v>518</v>
      </c>
      <c r="C27" s="752"/>
      <c r="D27" s="752"/>
      <c r="E27" s="753"/>
      <c r="F27" s="754"/>
      <c r="G27" s="752"/>
      <c r="H27" s="752"/>
      <c r="I27" s="752"/>
      <c r="J27" s="755">
        <f>+SUM(J10:J25)</f>
        <v>165.815</v>
      </c>
      <c r="K27" s="756">
        <f>+SUM(K10:K25)</f>
        <v>165.815</v>
      </c>
      <c r="L27" s="757"/>
    </row>
    <row r="28" spans="1:13" s="506" customFormat="1" ht="14.25">
      <c r="A28" s="12"/>
      <c r="B28" s="12"/>
      <c r="C28" s="12"/>
      <c r="D28" s="12"/>
      <c r="E28" s="12"/>
      <c r="F28" s="12"/>
      <c r="G28" s="12"/>
      <c r="H28" s="12"/>
      <c r="I28" s="12"/>
      <c r="J28" s="12"/>
      <c r="K28" s="12"/>
      <c r="L28" s="12"/>
      <c r="M28" s="12"/>
    </row>
    <row r="29" spans="1:13" ht="12.75">
      <c r="A29" s="12"/>
      <c r="B29" s="12"/>
      <c r="C29" s="12"/>
      <c r="D29" s="12"/>
      <c r="E29" s="12"/>
      <c r="F29" s="12"/>
      <c r="G29" s="12"/>
      <c r="H29" s="12"/>
      <c r="I29" s="12"/>
      <c r="J29" s="12"/>
      <c r="K29" s="12"/>
      <c r="L29" s="12"/>
      <c r="M29" s="12"/>
    </row>
    <row r="30" spans="1:13" ht="14.25">
      <c r="A30" s="18"/>
      <c r="B30" s="758" t="s">
        <v>658</v>
      </c>
      <c r="C30" s="18"/>
      <c r="D30" s="759"/>
      <c r="E30" s="18"/>
      <c r="F30" s="18"/>
      <c r="G30" s="18"/>
      <c r="H30" s="18"/>
      <c r="I30" s="18"/>
      <c r="J30" s="18"/>
      <c r="K30" s="18"/>
      <c r="L30" s="18"/>
      <c r="M30" s="18"/>
    </row>
    <row r="31" spans="1:13" ht="15" thickBot="1">
      <c r="A31" s="18"/>
      <c r="B31" s="758"/>
      <c r="C31" s="18"/>
      <c r="D31" s="759"/>
      <c r="E31" s="18"/>
      <c r="F31" s="18"/>
      <c r="G31" s="18"/>
      <c r="H31" s="18"/>
      <c r="I31" s="18"/>
      <c r="J31" s="18"/>
      <c r="K31" s="18"/>
      <c r="L31" s="18"/>
      <c r="M31" s="18"/>
    </row>
    <row r="32" spans="1:12" ht="75">
      <c r="A32" s="728" t="s">
        <v>344</v>
      </c>
      <c r="B32" s="728" t="s">
        <v>4</v>
      </c>
      <c r="C32" s="516" t="s">
        <v>42</v>
      </c>
      <c r="D32" s="516" t="s">
        <v>5</v>
      </c>
      <c r="E32" s="516" t="s">
        <v>43</v>
      </c>
      <c r="F32" s="516" t="s">
        <v>18</v>
      </c>
      <c r="G32" s="516" t="s">
        <v>44</v>
      </c>
      <c r="H32" s="516" t="s">
        <v>45</v>
      </c>
      <c r="I32" s="516" t="s">
        <v>285</v>
      </c>
      <c r="J32" s="517" t="s">
        <v>286</v>
      </c>
      <c r="K32" s="518" t="s">
        <v>287</v>
      </c>
      <c r="L32" s="519" t="s">
        <v>288</v>
      </c>
    </row>
    <row r="33" spans="1:12" ht="15" thickBot="1">
      <c r="A33" s="18"/>
      <c r="B33" s="758"/>
      <c r="C33" s="18"/>
      <c r="D33" s="759"/>
      <c r="E33" s="18"/>
      <c r="F33" s="18"/>
      <c r="G33" s="18"/>
      <c r="H33" s="18"/>
      <c r="I33" s="18"/>
      <c r="J33" s="18"/>
      <c r="K33" s="18"/>
      <c r="L33" s="760"/>
    </row>
    <row r="34" spans="1:12" ht="15">
      <c r="A34" s="584"/>
      <c r="B34" s="734"/>
      <c r="C34" s="735"/>
      <c r="D34" s="736"/>
      <c r="E34" s="735"/>
      <c r="F34" s="735"/>
      <c r="G34" s="735"/>
      <c r="H34" s="735"/>
      <c r="I34" s="736"/>
      <c r="J34" s="737"/>
      <c r="K34" s="526"/>
      <c r="L34" s="526"/>
    </row>
    <row r="35" spans="1:12" ht="15">
      <c r="A35" s="584">
        <v>1</v>
      </c>
      <c r="B35" s="565" t="s">
        <v>659</v>
      </c>
      <c r="C35" s="588" t="s">
        <v>660</v>
      </c>
      <c r="D35" s="761">
        <v>43374</v>
      </c>
      <c r="E35" s="762" t="s">
        <v>251</v>
      </c>
      <c r="F35" s="584"/>
      <c r="G35" s="584" t="s">
        <v>517</v>
      </c>
      <c r="H35" s="584" t="s">
        <v>661</v>
      </c>
      <c r="I35" s="741">
        <v>0.225</v>
      </c>
      <c r="J35" s="740">
        <v>100</v>
      </c>
      <c r="K35" s="534">
        <f>+I35*J35/100</f>
        <v>0.225</v>
      </c>
      <c r="L35" s="763" t="s">
        <v>289</v>
      </c>
    </row>
    <row r="36" spans="1:12" ht="15.75" thickBot="1">
      <c r="A36" s="744"/>
      <c r="B36" s="565"/>
      <c r="C36" s="584"/>
      <c r="D36" s="764"/>
      <c r="E36" s="739"/>
      <c r="F36" s="584"/>
      <c r="G36" s="584"/>
      <c r="H36" s="584"/>
      <c r="I36" s="741"/>
      <c r="J36" s="740"/>
      <c r="K36" s="534"/>
      <c r="L36" s="763"/>
    </row>
    <row r="37" spans="1:12" ht="21" thickBot="1">
      <c r="A37" s="750">
        <f>+SUM(A34:A36)</f>
        <v>1</v>
      </c>
      <c r="B37" s="765" t="s">
        <v>518</v>
      </c>
      <c r="C37" s="766"/>
      <c r="D37" s="767"/>
      <c r="E37" s="768"/>
      <c r="F37" s="766"/>
      <c r="G37" s="766"/>
      <c r="H37" s="766"/>
      <c r="I37" s="769">
        <f>SUM(I34:I36)</f>
        <v>0.225</v>
      </c>
      <c r="J37" s="769"/>
      <c r="K37" s="770">
        <f>SUM(K34:K36)</f>
        <v>0.225</v>
      </c>
      <c r="L37" s="771"/>
    </row>
    <row r="38" spans="1:13" ht="12.75">
      <c r="A38" s="12"/>
      <c r="B38" s="12"/>
      <c r="C38" s="12"/>
      <c r="D38" s="12"/>
      <c r="E38" s="12"/>
      <c r="F38" s="12"/>
      <c r="G38" s="12"/>
      <c r="H38" s="12"/>
      <c r="I38" s="12"/>
      <c r="J38" s="12"/>
      <c r="K38" s="12"/>
      <c r="L38" s="12"/>
      <c r="M38" s="12"/>
    </row>
    <row r="39" spans="1:13" ht="12.75">
      <c r="A39" s="12"/>
      <c r="B39" s="12"/>
      <c r="C39" s="12"/>
      <c r="D39" s="12"/>
      <c r="E39" s="12"/>
      <c r="F39" s="12"/>
      <c r="G39" s="12"/>
      <c r="H39" s="12"/>
      <c r="I39" s="12"/>
      <c r="J39" s="12"/>
      <c r="K39" s="12"/>
      <c r="L39" s="12"/>
      <c r="M39" s="12"/>
    </row>
    <row r="40" spans="1:13" s="588" customFormat="1" ht="14.25">
      <c r="A40" s="12"/>
      <c r="B40" s="727" t="s">
        <v>574</v>
      </c>
      <c r="C40" s="12"/>
      <c r="D40" s="12"/>
      <c r="E40" s="12"/>
      <c r="F40" s="12"/>
      <c r="G40" s="12"/>
      <c r="H40" s="12"/>
      <c r="I40" s="12"/>
      <c r="J40" s="12"/>
      <c r="K40" s="12"/>
      <c r="L40" s="12"/>
      <c r="M40" s="12"/>
    </row>
    <row r="41" spans="1:13" s="588" customFormat="1" ht="15" thickBot="1">
      <c r="A41" s="12"/>
      <c r="B41" s="12"/>
      <c r="C41" s="12"/>
      <c r="D41" s="12"/>
      <c r="E41" s="12"/>
      <c r="F41" s="12"/>
      <c r="G41" s="12"/>
      <c r="H41" s="12"/>
      <c r="I41" s="12"/>
      <c r="J41" s="12"/>
      <c r="K41" s="12"/>
      <c r="L41" s="12"/>
      <c r="M41" s="12"/>
    </row>
    <row r="42" spans="1:12" s="588" customFormat="1" ht="75">
      <c r="A42" s="728" t="s">
        <v>344</v>
      </c>
      <c r="B42" s="728" t="s">
        <v>4</v>
      </c>
      <c r="C42" s="516" t="s">
        <v>42</v>
      </c>
      <c r="D42" s="516" t="s">
        <v>5</v>
      </c>
      <c r="E42" s="516" t="s">
        <v>43</v>
      </c>
      <c r="F42" s="517" t="s">
        <v>567</v>
      </c>
      <c r="G42" s="516" t="s">
        <v>18</v>
      </c>
      <c r="H42" s="516"/>
      <c r="I42" s="516" t="s">
        <v>19</v>
      </c>
      <c r="J42" s="516" t="s">
        <v>285</v>
      </c>
      <c r="K42" s="518" t="s">
        <v>287</v>
      </c>
      <c r="L42" s="519" t="s">
        <v>288</v>
      </c>
    </row>
    <row r="43" spans="1:12" s="588" customFormat="1" ht="15.75" thickBot="1">
      <c r="A43" s="772"/>
      <c r="D43" s="620"/>
      <c r="F43" s="773"/>
      <c r="J43" s="620"/>
      <c r="K43" s="774"/>
      <c r="L43" s="775"/>
    </row>
    <row r="44" spans="1:12" s="588" customFormat="1" ht="14.25">
      <c r="A44" s="476">
        <v>1</v>
      </c>
      <c r="B44" s="283" t="s">
        <v>457</v>
      </c>
      <c r="C44" s="602" t="s">
        <v>458</v>
      </c>
      <c r="D44" s="602">
        <v>1948</v>
      </c>
      <c r="E44" s="601" t="s">
        <v>438</v>
      </c>
      <c r="F44" s="776">
        <v>100</v>
      </c>
      <c r="G44" s="777" t="s">
        <v>459</v>
      </c>
      <c r="H44" s="601"/>
      <c r="I44" s="601" t="s">
        <v>460</v>
      </c>
      <c r="J44" s="778">
        <v>1.5</v>
      </c>
      <c r="K44" s="779">
        <f>+J44*F44%</f>
        <v>1.5</v>
      </c>
      <c r="L44" s="780" t="s">
        <v>295</v>
      </c>
    </row>
    <row r="45" spans="1:12" s="588" customFormat="1" ht="15.75" thickBot="1">
      <c r="A45" s="729"/>
      <c r="B45" s="781"/>
      <c r="C45" s="627"/>
      <c r="D45" s="627"/>
      <c r="E45" s="629"/>
      <c r="F45" s="782"/>
      <c r="G45" s="627"/>
      <c r="H45" s="627"/>
      <c r="I45" s="627"/>
      <c r="J45" s="783"/>
      <c r="K45" s="784"/>
      <c r="L45" s="546"/>
    </row>
    <row r="46" spans="1:12" s="588" customFormat="1" ht="21" thickBot="1">
      <c r="A46" s="750">
        <f>SUM(A44:A45)</f>
        <v>1</v>
      </c>
      <c r="B46" s="765" t="s">
        <v>40</v>
      </c>
      <c r="C46" s="785"/>
      <c r="D46" s="786"/>
      <c r="E46" s="785"/>
      <c r="F46" s="785"/>
      <c r="G46" s="785"/>
      <c r="H46" s="787"/>
      <c r="I46" s="787"/>
      <c r="J46" s="788">
        <f>SUM(J44:J45)</f>
        <v>1.5</v>
      </c>
      <c r="K46" s="789">
        <f>SUM(K44:K45)</f>
        <v>1.5</v>
      </c>
      <c r="L46" s="556"/>
    </row>
    <row r="47" spans="1:13" s="588" customFormat="1" ht="14.25">
      <c r="A47" s="476"/>
      <c r="B47" s="12"/>
      <c r="C47" s="12"/>
      <c r="D47" s="12"/>
      <c r="E47" s="12"/>
      <c r="F47" s="12"/>
      <c r="G47" s="12"/>
      <c r="H47" s="12"/>
      <c r="I47" s="12"/>
      <c r="J47" s="12"/>
      <c r="K47" s="12"/>
      <c r="L47" s="12"/>
      <c r="M47" s="12"/>
    </row>
    <row r="48" spans="1:13" s="588" customFormat="1" ht="14.25">
      <c r="A48" s="12"/>
      <c r="B48" s="12"/>
      <c r="C48" s="12"/>
      <c r="D48" s="12"/>
      <c r="E48" s="12"/>
      <c r="F48" s="12"/>
      <c r="G48" s="12"/>
      <c r="H48" s="12"/>
      <c r="I48" s="12"/>
      <c r="J48" s="12"/>
      <c r="K48" s="12"/>
      <c r="L48" s="12"/>
      <c r="M48" s="12"/>
    </row>
    <row r="49" spans="1:13" ht="14.25">
      <c r="A49" s="12"/>
      <c r="B49" s="727" t="s">
        <v>461</v>
      </c>
      <c r="C49" s="12"/>
      <c r="D49" s="12"/>
      <c r="E49" s="12"/>
      <c r="F49" s="12"/>
      <c r="G49" s="12"/>
      <c r="H49" s="12"/>
      <c r="I49" s="12"/>
      <c r="J49" s="12"/>
      <c r="K49" s="12"/>
      <c r="L49" s="12"/>
      <c r="M49" s="12"/>
    </row>
    <row r="50" spans="1:13" ht="13.5" thickBot="1">
      <c r="A50" s="12"/>
      <c r="B50" s="12"/>
      <c r="C50" s="12"/>
      <c r="D50" s="12"/>
      <c r="E50" s="12"/>
      <c r="F50" s="12"/>
      <c r="G50" s="12"/>
      <c r="H50" s="12"/>
      <c r="I50" s="12"/>
      <c r="J50" s="12"/>
      <c r="K50" s="12"/>
      <c r="L50" s="12"/>
      <c r="M50" s="12"/>
    </row>
    <row r="51" spans="1:12" ht="75.75" thickBot="1">
      <c r="A51" s="728" t="s">
        <v>344</v>
      </c>
      <c r="B51" s="790" t="s">
        <v>4</v>
      </c>
      <c r="C51" s="790" t="s">
        <v>42</v>
      </c>
      <c r="D51" s="790" t="s">
        <v>5</v>
      </c>
      <c r="E51" s="790" t="s">
        <v>43</v>
      </c>
      <c r="F51" s="517" t="s">
        <v>567</v>
      </c>
      <c r="G51" s="790" t="s">
        <v>18</v>
      </c>
      <c r="H51" s="791" t="s">
        <v>44</v>
      </c>
      <c r="I51" s="791" t="s">
        <v>45</v>
      </c>
      <c r="J51" s="792" t="s">
        <v>338</v>
      </c>
      <c r="K51" s="792" t="s">
        <v>339</v>
      </c>
      <c r="L51" s="594" t="s">
        <v>288</v>
      </c>
    </row>
    <row r="52" spans="1:12" ht="15.75" thickBot="1">
      <c r="A52" s="729"/>
      <c r="B52" s="590"/>
      <c r="C52" s="730"/>
      <c r="D52" s="730"/>
      <c r="E52" s="590"/>
      <c r="F52" s="731"/>
      <c r="G52" s="730"/>
      <c r="H52" s="586"/>
      <c r="I52" s="586"/>
      <c r="J52" s="732"/>
      <c r="K52" s="733"/>
      <c r="L52" s="733"/>
    </row>
    <row r="53" spans="1:12" ht="15.75" thickBot="1">
      <c r="A53" s="729"/>
      <c r="B53" s="793" t="s">
        <v>462</v>
      </c>
      <c r="C53" s="794"/>
      <c r="D53" s="795"/>
      <c r="E53" s="794"/>
      <c r="F53" s="796"/>
      <c r="G53" s="794"/>
      <c r="H53" s="794"/>
      <c r="I53" s="794"/>
      <c r="J53" s="797"/>
      <c r="K53" s="798"/>
      <c r="L53" s="799"/>
    </row>
    <row r="54" spans="1:12" ht="15">
      <c r="A54" s="729"/>
      <c r="B54" s="800"/>
      <c r="C54" s="801"/>
      <c r="D54" s="772"/>
      <c r="E54" s="801"/>
      <c r="F54" s="802"/>
      <c r="G54" s="801"/>
      <c r="H54" s="586"/>
      <c r="I54" s="586"/>
      <c r="J54" s="803"/>
      <c r="K54" s="804"/>
      <c r="L54" s="805"/>
    </row>
    <row r="55" spans="1:12" ht="14.25">
      <c r="A55" s="476">
        <v>1</v>
      </c>
      <c r="B55" s="618" t="s">
        <v>231</v>
      </c>
      <c r="C55" s="588" t="s">
        <v>463</v>
      </c>
      <c r="D55" s="806">
        <v>40645</v>
      </c>
      <c r="E55" s="739" t="s">
        <v>251</v>
      </c>
      <c r="F55" s="807">
        <v>100</v>
      </c>
      <c r="G55" s="808"/>
      <c r="H55" s="591"/>
      <c r="I55" s="591"/>
      <c r="J55" s="809">
        <v>0.8648</v>
      </c>
      <c r="K55" s="810">
        <f>+J55*F55%</f>
        <v>0.8648</v>
      </c>
      <c r="L55" s="811" t="s">
        <v>295</v>
      </c>
    </row>
    <row r="56" spans="1:12" ht="14.25">
      <c r="A56" s="476">
        <v>1</v>
      </c>
      <c r="B56" s="618" t="s">
        <v>232</v>
      </c>
      <c r="C56" s="588" t="s">
        <v>464</v>
      </c>
      <c r="D56" s="806">
        <v>40663</v>
      </c>
      <c r="E56" s="739" t="s">
        <v>251</v>
      </c>
      <c r="F56" s="807">
        <v>100</v>
      </c>
      <c r="G56" s="808"/>
      <c r="H56" s="591"/>
      <c r="I56" s="591"/>
      <c r="J56" s="809">
        <v>0.9688</v>
      </c>
      <c r="K56" s="810">
        <f>+J56*F56%</f>
        <v>0.9688</v>
      </c>
      <c r="L56" s="811" t="s">
        <v>295</v>
      </c>
    </row>
    <row r="57" spans="1:12" ht="14.25">
      <c r="A57" s="476">
        <v>1</v>
      </c>
      <c r="B57" s="618" t="s">
        <v>233</v>
      </c>
      <c r="C57" s="588" t="s">
        <v>465</v>
      </c>
      <c r="D57" s="806">
        <v>40659</v>
      </c>
      <c r="E57" s="739" t="s">
        <v>251</v>
      </c>
      <c r="F57" s="807">
        <v>100</v>
      </c>
      <c r="G57" s="808"/>
      <c r="H57" s="591"/>
      <c r="I57" s="591"/>
      <c r="J57" s="809">
        <v>1.35465</v>
      </c>
      <c r="K57" s="810">
        <f>+J57*F57%</f>
        <v>1.35465</v>
      </c>
      <c r="L57" s="811" t="s">
        <v>295</v>
      </c>
    </row>
    <row r="58" spans="1:12" ht="15.75" thickBot="1">
      <c r="A58" s="729"/>
      <c r="B58" s="800"/>
      <c r="C58" s="801"/>
      <c r="D58" s="772"/>
      <c r="E58" s="739"/>
      <c r="F58" s="812"/>
      <c r="G58" s="808"/>
      <c r="H58" s="586"/>
      <c r="I58" s="586"/>
      <c r="J58" s="813"/>
      <c r="K58" s="804"/>
      <c r="L58" s="814"/>
    </row>
    <row r="59" spans="1:12" ht="21" thickBot="1">
      <c r="A59" s="750">
        <f>+SUM(A55:A57)</f>
        <v>3</v>
      </c>
      <c r="B59" s="765" t="s">
        <v>466</v>
      </c>
      <c r="C59" s="785"/>
      <c r="D59" s="786"/>
      <c r="E59" s="785"/>
      <c r="F59" s="785"/>
      <c r="G59" s="785"/>
      <c r="H59" s="787"/>
      <c r="I59" s="787"/>
      <c r="J59" s="788">
        <f>SUM(J55:J57)</f>
        <v>3.18825</v>
      </c>
      <c r="K59" s="789">
        <f>SUM(K55:K57)</f>
        <v>3.18825</v>
      </c>
      <c r="L59" s="815"/>
    </row>
    <row r="60" spans="1:13" ht="12.75">
      <c r="A60" s="12"/>
      <c r="B60" s="12"/>
      <c r="C60" s="12"/>
      <c r="D60" s="12"/>
      <c r="E60" s="12"/>
      <c r="F60" s="12"/>
      <c r="G60" s="12"/>
      <c r="H60" s="12"/>
      <c r="I60" s="12"/>
      <c r="J60" s="12"/>
      <c r="K60" s="12"/>
      <c r="L60" s="12"/>
      <c r="M60" s="12"/>
    </row>
    <row r="61" spans="1:13" ht="12.75">
      <c r="A61" s="12"/>
      <c r="B61" s="12"/>
      <c r="C61" s="12"/>
      <c r="D61" s="12"/>
      <c r="E61" s="12"/>
      <c r="F61" s="12"/>
      <c r="G61" s="12"/>
      <c r="H61" s="12"/>
      <c r="I61" s="12"/>
      <c r="J61" s="12"/>
      <c r="K61" s="12"/>
      <c r="L61" s="12"/>
      <c r="M61" s="12"/>
    </row>
    <row r="62" spans="1:13" ht="15.75">
      <c r="A62" s="726" t="s">
        <v>519</v>
      </c>
      <c r="B62" s="12"/>
      <c r="C62" s="12"/>
      <c r="D62" s="12"/>
      <c r="E62" s="12"/>
      <c r="F62" s="12"/>
      <c r="G62" s="12"/>
      <c r="H62" s="12"/>
      <c r="I62" s="12"/>
      <c r="J62" s="12"/>
      <c r="K62" s="12"/>
      <c r="L62" s="12"/>
      <c r="M62" s="12"/>
    </row>
    <row r="63" spans="1:13" ht="13.5" thickBot="1">
      <c r="A63" s="12"/>
      <c r="B63" s="12"/>
      <c r="C63" s="12"/>
      <c r="D63" s="12"/>
      <c r="E63" s="12"/>
      <c r="F63" s="12"/>
      <c r="G63" s="12"/>
      <c r="H63" s="12"/>
      <c r="I63" s="12"/>
      <c r="J63" s="12"/>
      <c r="K63" s="12"/>
      <c r="L63" s="12"/>
      <c r="M63" s="12"/>
    </row>
    <row r="64" spans="1:12" ht="75.75" thickBot="1">
      <c r="A64" s="728" t="s">
        <v>344</v>
      </c>
      <c r="B64" s="594" t="s">
        <v>520</v>
      </c>
      <c r="C64" s="595" t="s">
        <v>42</v>
      </c>
      <c r="D64" s="595" t="s">
        <v>5</v>
      </c>
      <c r="E64" s="595" t="s">
        <v>43</v>
      </c>
      <c r="F64" s="517" t="s">
        <v>567</v>
      </c>
      <c r="G64" s="595" t="s">
        <v>18</v>
      </c>
      <c r="H64" s="595" t="s">
        <v>44</v>
      </c>
      <c r="I64" s="595" t="s">
        <v>45</v>
      </c>
      <c r="J64" s="595" t="s">
        <v>285</v>
      </c>
      <c r="K64" s="597" t="s">
        <v>287</v>
      </c>
      <c r="L64" s="597" t="s">
        <v>288</v>
      </c>
    </row>
    <row r="65" spans="1:12" s="588" customFormat="1" ht="15">
      <c r="A65" s="12"/>
      <c r="B65" s="816"/>
      <c r="C65" s="18"/>
      <c r="D65" s="18"/>
      <c r="E65" s="18"/>
      <c r="F65" s="817"/>
      <c r="G65" s="18"/>
      <c r="H65" s="18"/>
      <c r="I65" s="18"/>
      <c r="J65" s="809"/>
      <c r="K65" s="804"/>
      <c r="L65" s="818"/>
    </row>
    <row r="66" spans="1:12" ht="14.25">
      <c r="A66" s="3"/>
      <c r="B66" s="331">
        <v>1</v>
      </c>
      <c r="C66" s="164" t="s">
        <v>521</v>
      </c>
      <c r="D66" s="164">
        <v>1957</v>
      </c>
      <c r="E66" s="164" t="s">
        <v>438</v>
      </c>
      <c r="F66" s="807">
        <v>100</v>
      </c>
      <c r="G66" s="164" t="s">
        <v>522</v>
      </c>
      <c r="H66" s="164" t="s">
        <v>108</v>
      </c>
      <c r="I66" s="164" t="s">
        <v>439</v>
      </c>
      <c r="J66" s="809">
        <v>12</v>
      </c>
      <c r="K66" s="810">
        <f>+J66*F66%</f>
        <v>12</v>
      </c>
      <c r="L66" s="811" t="s">
        <v>295</v>
      </c>
    </row>
    <row r="67" spans="1:12" ht="14.25">
      <c r="A67" s="14"/>
      <c r="B67" s="819">
        <v>1</v>
      </c>
      <c r="C67" s="355" t="s">
        <v>575</v>
      </c>
      <c r="D67" s="355">
        <v>2010</v>
      </c>
      <c r="E67" s="106" t="s">
        <v>438</v>
      </c>
      <c r="F67" s="807">
        <v>100</v>
      </c>
      <c r="G67" s="106" t="s">
        <v>522</v>
      </c>
      <c r="H67" s="106" t="s">
        <v>517</v>
      </c>
      <c r="I67" s="106" t="s">
        <v>439</v>
      </c>
      <c r="J67" s="809">
        <v>1.4</v>
      </c>
      <c r="K67" s="810">
        <f>+J67*F67%</f>
        <v>1.4</v>
      </c>
      <c r="L67" s="533" t="s">
        <v>295</v>
      </c>
    </row>
    <row r="68" spans="1:12" ht="14.25">
      <c r="A68" s="3"/>
      <c r="B68" s="331">
        <v>1</v>
      </c>
      <c r="C68" s="164" t="s">
        <v>557</v>
      </c>
      <c r="E68" s="164" t="s">
        <v>438</v>
      </c>
      <c r="F68" s="807">
        <v>100</v>
      </c>
      <c r="G68" s="164" t="s">
        <v>522</v>
      </c>
      <c r="I68" s="164" t="s">
        <v>346</v>
      </c>
      <c r="J68" s="809">
        <v>0.1</v>
      </c>
      <c r="K68" s="810">
        <f>+J68*F68%</f>
        <v>0.1</v>
      </c>
      <c r="L68" s="811" t="s">
        <v>295</v>
      </c>
    </row>
    <row r="69" spans="1:12" ht="13.5" thickBot="1">
      <c r="A69" s="12"/>
      <c r="B69" s="816"/>
      <c r="C69" s="18"/>
      <c r="D69" s="18"/>
      <c r="E69" s="18"/>
      <c r="F69" s="18"/>
      <c r="G69" s="18"/>
      <c r="H69" s="18"/>
      <c r="I69" s="18"/>
      <c r="J69" s="18"/>
      <c r="K69" s="820"/>
      <c r="L69" s="821"/>
    </row>
    <row r="70" spans="1:12" ht="21" thickBot="1">
      <c r="A70" s="750">
        <f>+SUM(B66:B68)</f>
        <v>3</v>
      </c>
      <c r="B70" s="765" t="s">
        <v>523</v>
      </c>
      <c r="C70" s="785"/>
      <c r="D70" s="786"/>
      <c r="E70" s="785"/>
      <c r="F70" s="785"/>
      <c r="G70" s="785"/>
      <c r="H70" s="787"/>
      <c r="I70" s="787"/>
      <c r="J70" s="822">
        <f>+SUM(J65:J69)</f>
        <v>13.5</v>
      </c>
      <c r="K70" s="789">
        <f>+SUM(K65:K69)</f>
        <v>13.5</v>
      </c>
      <c r="L70" s="815"/>
    </row>
    <row r="71" spans="1:13" ht="12.75">
      <c r="A71" s="12"/>
      <c r="B71" s="823"/>
      <c r="C71" s="12"/>
      <c r="D71" s="12"/>
      <c r="E71" s="12"/>
      <c r="F71" s="12"/>
      <c r="G71" s="12"/>
      <c r="H71" s="12"/>
      <c r="I71" s="12"/>
      <c r="J71" s="12"/>
      <c r="K71" s="12"/>
      <c r="L71" s="12"/>
      <c r="M71" s="12"/>
    </row>
    <row r="72" spans="1:13" ht="12.75">
      <c r="A72" s="12"/>
      <c r="B72" s="12"/>
      <c r="C72" s="12"/>
      <c r="D72" s="12"/>
      <c r="E72" s="12"/>
      <c r="F72" s="12"/>
      <c r="G72" s="12"/>
      <c r="H72" s="12"/>
      <c r="I72" s="12"/>
      <c r="J72" s="12"/>
      <c r="K72" s="12"/>
      <c r="L72" s="12"/>
      <c r="M72" s="12"/>
    </row>
    <row r="73" spans="1:13" ht="13.5" thickBot="1">
      <c r="A73" s="12"/>
      <c r="B73" s="12"/>
      <c r="C73" s="12"/>
      <c r="D73" s="12"/>
      <c r="E73" s="12"/>
      <c r="F73" s="12"/>
      <c r="G73" s="12"/>
      <c r="H73" s="12"/>
      <c r="I73" s="12"/>
      <c r="J73" s="12"/>
      <c r="K73" s="12"/>
      <c r="L73" s="12"/>
      <c r="M73" s="12"/>
    </row>
    <row r="74" spans="1:13" ht="21" thickBot="1">
      <c r="A74" s="750">
        <f>+A27+A46+A59+A70+A37</f>
        <v>24</v>
      </c>
      <c r="B74" s="824" t="s">
        <v>524</v>
      </c>
      <c r="C74" s="825"/>
      <c r="D74" s="826"/>
      <c r="E74" s="825"/>
      <c r="F74" s="825"/>
      <c r="G74" s="825"/>
      <c r="H74" s="825"/>
      <c r="I74" s="827"/>
      <c r="J74" s="828">
        <f>+J27+J46+J59+J70+I37</f>
        <v>184.22825</v>
      </c>
      <c r="K74" s="934">
        <f>+K27+K46+K59+K70+K37</f>
        <v>184.22825</v>
      </c>
      <c r="M74" s="933"/>
    </row>
    <row r="75" spans="1:13" ht="12.75">
      <c r="A75" s="12"/>
      <c r="B75" s="12"/>
      <c r="C75" s="12"/>
      <c r="D75" s="12"/>
      <c r="E75" s="12"/>
      <c r="F75" s="12"/>
      <c r="G75" s="12"/>
      <c r="H75" s="12"/>
      <c r="I75" s="12"/>
      <c r="J75" s="12"/>
      <c r="K75" s="12"/>
      <c r="L75" s="12"/>
      <c r="M75" s="12"/>
    </row>
    <row r="76" spans="1:13" ht="12.75">
      <c r="A76" s="12"/>
      <c r="B76" s="12"/>
      <c r="C76" s="12"/>
      <c r="D76" s="12"/>
      <c r="E76" s="12"/>
      <c r="F76" s="12"/>
      <c r="G76" s="12"/>
      <c r="H76" s="12"/>
      <c r="I76" s="12"/>
      <c r="J76" s="12"/>
      <c r="K76" s="12"/>
      <c r="L76" s="12"/>
      <c r="M76" s="12"/>
    </row>
    <row r="77" spans="1:13" ht="12.75">
      <c r="A77" s="12"/>
      <c r="B77" s="12"/>
      <c r="C77" s="12"/>
      <c r="D77" s="12"/>
      <c r="E77" s="12"/>
      <c r="F77" s="12"/>
      <c r="G77" s="12"/>
      <c r="H77" s="12"/>
      <c r="I77" s="12"/>
      <c r="J77" s="12"/>
      <c r="K77" s="12"/>
      <c r="L77" s="12"/>
      <c r="M77" s="12"/>
    </row>
    <row r="78" spans="1:13" ht="15.75">
      <c r="A78" s="726" t="s">
        <v>525</v>
      </c>
      <c r="B78" s="12"/>
      <c r="C78" s="12"/>
      <c r="D78" s="12"/>
      <c r="E78" s="12"/>
      <c r="F78" s="12"/>
      <c r="G78" s="12"/>
      <c r="H78" s="12"/>
      <c r="I78" s="12"/>
      <c r="J78" s="12"/>
      <c r="K78" s="12"/>
      <c r="L78" s="12"/>
      <c r="M78" s="12"/>
    </row>
    <row r="79" spans="1:13" ht="13.5" thickBot="1">
      <c r="A79" s="12"/>
      <c r="B79" s="12"/>
      <c r="C79" s="12"/>
      <c r="D79" s="12"/>
      <c r="E79" s="12"/>
      <c r="F79" s="12"/>
      <c r="G79" s="12"/>
      <c r="H79" s="12"/>
      <c r="I79" s="12"/>
      <c r="J79" s="12"/>
      <c r="K79" s="12"/>
      <c r="L79" s="12"/>
      <c r="M79" s="12"/>
    </row>
    <row r="80" spans="1:13" ht="15">
      <c r="A80" s="12"/>
      <c r="B80" s="829" t="s">
        <v>45</v>
      </c>
      <c r="C80" s="884" t="s">
        <v>438</v>
      </c>
      <c r="D80" s="885"/>
      <c r="E80" s="884" t="s">
        <v>526</v>
      </c>
      <c r="F80" s="885"/>
      <c r="G80" s="884" t="s">
        <v>347</v>
      </c>
      <c r="H80" s="885"/>
      <c r="I80" s="12"/>
      <c r="J80" s="12"/>
      <c r="K80" s="12"/>
      <c r="L80" s="12"/>
      <c r="M80" s="12"/>
    </row>
    <row r="81" spans="1:13" ht="15.75" thickBot="1">
      <c r="A81" s="12"/>
      <c r="B81" s="830"/>
      <c r="C81" s="830" t="s">
        <v>512</v>
      </c>
      <c r="D81" s="831" t="s">
        <v>344</v>
      </c>
      <c r="E81" s="830" t="s">
        <v>512</v>
      </c>
      <c r="F81" s="831" t="s">
        <v>344</v>
      </c>
      <c r="G81" s="830" t="s">
        <v>512</v>
      </c>
      <c r="H81" s="831" t="s">
        <v>344</v>
      </c>
      <c r="I81" s="12"/>
      <c r="J81" s="12"/>
      <c r="K81" s="12"/>
      <c r="L81" s="12"/>
      <c r="M81" s="12"/>
    </row>
    <row r="82" spans="1:13" ht="14.25">
      <c r="A82" s="12"/>
      <c r="B82" s="832" t="s">
        <v>109</v>
      </c>
      <c r="C82" s="464">
        <f>+C83+C84</f>
        <v>159.52</v>
      </c>
      <c r="D82" s="465">
        <f>+D83+D84</f>
        <v>14</v>
      </c>
      <c r="E82" s="466">
        <f>+E83+E84</f>
        <v>7.92</v>
      </c>
      <c r="F82" s="465">
        <f>+F83+F84</f>
        <v>4</v>
      </c>
      <c r="G82" s="467">
        <f>+C82+E82</f>
        <v>167.44</v>
      </c>
      <c r="H82" s="468">
        <f>+D82+F82</f>
        <v>18</v>
      </c>
      <c r="I82" s="12"/>
      <c r="J82" s="12"/>
      <c r="K82" s="12"/>
      <c r="L82" s="12"/>
      <c r="M82" s="12"/>
    </row>
    <row r="83" spans="1:13" ht="14.25">
      <c r="A83" s="3"/>
      <c r="B83" s="833" t="s">
        <v>527</v>
      </c>
      <c r="C83" s="469">
        <f>+SUM(K13:K25)</f>
        <v>158.12</v>
      </c>
      <c r="D83" s="470">
        <f>+SUM(A13:A26)</f>
        <v>13</v>
      </c>
      <c r="E83" s="471">
        <f>+SUM(K10:K12)+K35</f>
        <v>7.92</v>
      </c>
      <c r="F83" s="470">
        <f>+SUM(A10:A12)+A35</f>
        <v>4</v>
      </c>
      <c r="G83" s="471">
        <f aca="true" t="shared" si="0" ref="G83:G88">+C83+E83</f>
        <v>166.04</v>
      </c>
      <c r="H83" s="472">
        <f>+F83+D83</f>
        <v>17</v>
      </c>
      <c r="I83" s="3"/>
      <c r="J83" s="3"/>
      <c r="K83" s="3"/>
      <c r="L83" s="3"/>
      <c r="M83" s="3"/>
    </row>
    <row r="84" spans="1:13" ht="14.25">
      <c r="A84" s="3"/>
      <c r="B84" s="834" t="s">
        <v>528</v>
      </c>
      <c r="C84" s="469">
        <f>+SUM(K67:K67)</f>
        <v>1.4</v>
      </c>
      <c r="D84" s="470">
        <f>+SUM(B67:B67)</f>
        <v>1</v>
      </c>
      <c r="E84" s="473"/>
      <c r="F84" s="474"/>
      <c r="G84" s="471">
        <f t="shared" si="0"/>
        <v>1.4</v>
      </c>
      <c r="H84" s="472">
        <f>+F84+D84</f>
        <v>1</v>
      </c>
      <c r="I84" s="3"/>
      <c r="J84" s="3"/>
      <c r="K84" s="3"/>
      <c r="L84" s="3"/>
      <c r="M84" s="3"/>
    </row>
    <row r="85" spans="1:13" ht="14.25">
      <c r="A85" s="3"/>
      <c r="B85" s="835" t="s">
        <v>529</v>
      </c>
      <c r="C85" s="475">
        <f>+K66</f>
        <v>12</v>
      </c>
      <c r="D85" s="476">
        <f>+B66</f>
        <v>1</v>
      </c>
      <c r="E85" s="466">
        <v>0</v>
      </c>
      <c r="F85" s="465"/>
      <c r="G85" s="466">
        <f t="shared" si="0"/>
        <v>12</v>
      </c>
      <c r="H85" s="465">
        <f>+D85+F85</f>
        <v>1</v>
      </c>
      <c r="I85" s="3"/>
      <c r="J85" s="3"/>
      <c r="K85" s="3"/>
      <c r="L85" s="3"/>
      <c r="M85" s="3"/>
    </row>
    <row r="86" spans="1:13" ht="14.25">
      <c r="A86" s="3"/>
      <c r="B86" s="835" t="s">
        <v>530</v>
      </c>
      <c r="C86" s="477">
        <f>+K44</f>
        <v>1.5</v>
      </c>
      <c r="D86" s="465">
        <f>+A44</f>
        <v>1</v>
      </c>
      <c r="E86" s="466">
        <v>0</v>
      </c>
      <c r="F86" s="465"/>
      <c r="G86" s="466">
        <f t="shared" si="0"/>
        <v>1.5</v>
      </c>
      <c r="H86" s="465">
        <f>+D86+F86</f>
        <v>1</v>
      </c>
      <c r="I86" s="3"/>
      <c r="J86" s="3"/>
      <c r="K86" s="3"/>
      <c r="L86" s="3"/>
      <c r="M86" s="3"/>
    </row>
    <row r="87" spans="1:13" ht="14.25">
      <c r="A87" s="3"/>
      <c r="B87" s="835" t="s">
        <v>346</v>
      </c>
      <c r="C87" s="477">
        <f>+C88+C89</f>
        <v>0.1</v>
      </c>
      <c r="D87" s="465">
        <f>+D89+D88</f>
        <v>1</v>
      </c>
      <c r="E87" s="466">
        <f>+E88+E89</f>
        <v>3.18825</v>
      </c>
      <c r="F87" s="465">
        <f>+F88+F89</f>
        <v>3</v>
      </c>
      <c r="G87" s="466">
        <f t="shared" si="0"/>
        <v>3.28825</v>
      </c>
      <c r="H87" s="465">
        <f>+D87+F87</f>
        <v>4</v>
      </c>
      <c r="I87" s="3"/>
      <c r="J87" s="3"/>
      <c r="K87" s="3"/>
      <c r="L87" s="3"/>
      <c r="M87" s="3"/>
    </row>
    <row r="88" spans="1:13" ht="14.25">
      <c r="A88" s="3"/>
      <c r="B88" s="833" t="s">
        <v>527</v>
      </c>
      <c r="C88" s="469"/>
      <c r="D88" s="472"/>
      <c r="E88" s="471">
        <f>+SUM(K55:K57)</f>
        <v>3.18825</v>
      </c>
      <c r="F88" s="472">
        <f>+SUM(A55:A57)</f>
        <v>3</v>
      </c>
      <c r="G88" s="471">
        <f t="shared" si="0"/>
        <v>3.18825</v>
      </c>
      <c r="H88" s="472">
        <f>+F88+D88</f>
        <v>3</v>
      </c>
      <c r="I88" s="3"/>
      <c r="J88" s="3"/>
      <c r="K88" s="3"/>
      <c r="L88" s="3"/>
      <c r="M88" s="3"/>
    </row>
    <row r="89" spans="1:13" ht="15" thickBot="1">
      <c r="A89" s="12"/>
      <c r="B89" s="836" t="s">
        <v>528</v>
      </c>
      <c r="C89" s="478">
        <f>+K68</f>
        <v>0.1</v>
      </c>
      <c r="D89" s="479">
        <f>+B68</f>
        <v>1</v>
      </c>
      <c r="E89" s="480"/>
      <c r="F89" s="481"/>
      <c r="G89" s="482">
        <f>+C89</f>
        <v>0.1</v>
      </c>
      <c r="H89" s="479">
        <v>1</v>
      </c>
      <c r="I89" s="12"/>
      <c r="J89" s="12"/>
      <c r="K89" s="12"/>
      <c r="L89" s="12"/>
      <c r="M89" s="12"/>
    </row>
    <row r="90" spans="1:13" ht="15.75" thickBot="1">
      <c r="A90" s="12"/>
      <c r="B90" s="837" t="s">
        <v>347</v>
      </c>
      <c r="C90" s="483">
        <f aca="true" t="shared" si="1" ref="C90:H90">+C82+C85+C86+C87</f>
        <v>173.12</v>
      </c>
      <c r="D90" s="484">
        <f t="shared" si="1"/>
        <v>17</v>
      </c>
      <c r="E90" s="483">
        <f t="shared" si="1"/>
        <v>11.10825</v>
      </c>
      <c r="F90" s="484">
        <f t="shared" si="1"/>
        <v>7</v>
      </c>
      <c r="G90" s="483">
        <f t="shared" si="1"/>
        <v>184.22825</v>
      </c>
      <c r="H90" s="484">
        <f t="shared" si="1"/>
        <v>24</v>
      </c>
      <c r="I90" s="12"/>
      <c r="J90" s="12"/>
      <c r="K90" s="12"/>
      <c r="L90" s="12"/>
      <c r="M90" s="12"/>
    </row>
    <row r="91" spans="1:13" ht="12.75">
      <c r="A91" s="12"/>
      <c r="B91" s="12"/>
      <c r="C91" s="12"/>
      <c r="D91" s="12"/>
      <c r="E91" s="12"/>
      <c r="F91" s="12"/>
      <c r="G91" s="12"/>
      <c r="H91" s="12"/>
      <c r="I91" s="12"/>
      <c r="J91" s="12"/>
      <c r="K91" s="12"/>
      <c r="L91" s="12"/>
      <c r="M91" s="12"/>
    </row>
  </sheetData>
  <sheetProtection/>
  <mergeCells count="3">
    <mergeCell ref="C80:D80"/>
    <mergeCell ref="E80:F80"/>
    <mergeCell ref="G80:H8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Minazzi Valeria</dc:creator>
  <cp:keywords/>
  <dc:description/>
  <cp:lastModifiedBy>Minazzi Valeria</cp:lastModifiedBy>
  <cp:lastPrinted>2017-04-05T07:59:15Z</cp:lastPrinted>
  <dcterms:created xsi:type="dcterms:W3CDTF">2004-07-07T10:48:07Z</dcterms:created>
  <dcterms:modified xsi:type="dcterms:W3CDTF">2019-05-07T14:45:02Z</dcterms:modified>
  <cp:category/>
  <cp:version/>
  <cp:contentType/>
  <cp:contentStatus/>
</cp:coreProperties>
</file>