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slicerCaches/slicerCache1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Ex1.xml" ContentType="application/vnd.ms-office.chartex+xml"/>
  <Override PartName="/xl/charts/style6.xml" ContentType="application/vnd.ms-office.chartstyle+xml"/>
  <Override PartName="/xl/charts/colors6.xml" ContentType="application/vnd.ms-office.chartcolorstyle+xml"/>
  <Override PartName="/xl/charts/chart6.xml" ContentType="application/vnd.openxmlformats-officedocument.drawingml.chart+xml"/>
  <Override PartName="/xl/charts/style7.xml" ContentType="application/vnd.ms-office.chartstyle+xml"/>
  <Override PartName="/xl/charts/colors7.xml" ContentType="application/vnd.ms-office.chartcolorstyle+xml"/>
  <Override PartName="/xl/charts/chart7.xml" ContentType="application/vnd.openxmlformats-officedocument.drawingml.chart+xml"/>
  <Override PartName="/xl/charts/style8.xml" ContentType="application/vnd.ms-office.chartstyle+xml"/>
  <Override PartName="/xl/charts/colors8.xml" ContentType="application/vnd.ms-office.chartcolorstyle+xml"/>
  <Override PartName="/xl/charts/chart8.xml" ContentType="application/vnd.openxmlformats-officedocument.drawingml.chart+xml"/>
  <Override PartName="/xl/charts/style9.xml" ContentType="application/vnd.ms-office.chartstyle+xml"/>
  <Override PartName="/xl/charts/colors9.xml" ContentType="application/vnd.ms-office.chartcolorstyle+xml"/>
  <Override PartName="/xl/charts/chart9.xml" ContentType="application/vnd.openxmlformats-officedocument.drawingml.chart+xml"/>
  <Override PartName="/xl/charts/style10.xml" ContentType="application/vnd.ms-office.chartstyle+xml"/>
  <Override PartName="/xl/charts/colors10.xml" ContentType="application/vnd.ms-office.chartcolorstyle+xml"/>
  <Override PartName="/xl/charts/chart10.xml" ContentType="application/vnd.openxmlformats-officedocument.drawingml.chart+xml"/>
  <Override PartName="/xl/charts/style11.xml" ContentType="application/vnd.ms-office.chartstyle+xml"/>
  <Override PartName="/xl/charts/colors11.xml" ContentType="application/vnd.ms-office.chartcolorstyle+xml"/>
  <Override PartName="/xl/charts/chartEx2.xml" ContentType="application/vnd.ms-office.chartex+xml"/>
  <Override PartName="/xl/charts/style12.xml" ContentType="application/vnd.ms-office.chartstyle+xml"/>
  <Override PartName="/xl/charts/colors12.xml" ContentType="application/vnd.ms-office.chartcolorstyle+xml"/>
  <Override PartName="/xl/charts/chart11.xml" ContentType="application/vnd.openxmlformats-officedocument.drawingml.chart+xml"/>
  <Override PartName="/xl/charts/style13.xml" ContentType="application/vnd.ms-office.chartstyle+xml"/>
  <Override PartName="/xl/charts/colors13.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3.xml" ContentType="application/vnd.openxmlformats-officedocument.spreadsheetml.table+xml"/>
  <Override PartName="/xl/pivotTables/pivotTable5.xml" ContentType="application/vnd.openxmlformats-officedocument.spreadsheetml.pivotTable+xml"/>
  <Override PartName="/xl/pivotTables/pivotTable6.xml" ContentType="application/vnd.openxmlformats-officedocument.spreadsheetml.pivotTable+xml"/>
  <Override PartName="/xl/tables/table4.xml" ContentType="application/vnd.openxmlformats-officedocument.spreadsheetml.table+xml"/>
  <Override PartName="/xl/tables/table5.xml" ContentType="application/vnd.openxmlformats-officedocument.spreadsheetml.table+xml"/>
  <Override PartName="/xl/pivotTables/pivotTable7.xml" ContentType="application/vnd.openxmlformats-officedocument.spreadsheetml.pivotTable+xml"/>
  <Override PartName="/xl/pivotTables/pivotTable8.xml" ContentType="application/vnd.openxmlformats-officedocument.spreadsheetml.pivotTable+xml"/>
  <Override PartName="/xl/tables/table6.xml" ContentType="application/vnd.openxmlformats-officedocument.spreadsheetml.table+xml"/>
  <Override PartName="/xl/tables/table7.xml" ContentType="application/vnd.openxmlformats-officedocument.spreadsheetml.table+xml"/>
  <Override PartName="/xl/pivotTables/pivotTable9.xml" ContentType="application/vnd.openxmlformats-officedocument.spreadsheetml.pivotTable+xml"/>
  <Override PartName="/xl/tables/table8.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Questa_cartella_di_lavoro"/>
  <mc:AlternateContent xmlns:mc="http://schemas.openxmlformats.org/markup-compatibility/2006">
    <mc:Choice Requires="x15">
      <x15ac:absPath xmlns:x15ac="http://schemas.microsoft.com/office/spreadsheetml/2010/11/ac" url="Q:\investor relations\condivisa con stage\Databook\Nuovo formato Databook\Work in progress\"/>
    </mc:Choice>
  </mc:AlternateContent>
  <xr:revisionPtr revIDLastSave="0" documentId="10_ncr:100000_{5ECAD283-DA08-4568-A3A3-52892B7C4614}" xr6:coauthVersionLast="31" xr6:coauthVersionMax="32" xr10:uidLastSave="{00000000-0000-0000-0000-000000000000}"/>
  <bookViews>
    <workbookView xWindow="0" yWindow="0" windowWidth="28800" windowHeight="11625" firstSheet="13" activeTab="15" xr2:uid="{66D96D7A-4834-42FE-B33D-4A0B0387F285}"/>
  </bookViews>
  <sheets>
    <sheet name="Table of Contents" sheetId="1" r:id="rId1"/>
    <sheet name="Dashboard" sheetId="2" r:id="rId2"/>
    <sheet name="Plants Input" sheetId="14" state="hidden" r:id="rId3"/>
    <sheet name="Divisions Input" sheetId="20" r:id="rId4"/>
    <sheet name="Volumes Input" sheetId="21" state="hidden" r:id="rId5"/>
    <sheet name="Non Financial Input" sheetId="23" state="hidden" r:id="rId6"/>
    <sheet name="FS Input" sheetId="24" state="hidden" r:id="rId7"/>
    <sheet name="Prices" sheetId="29" r:id="rId8"/>
    <sheet name="Demand" sheetId="30" r:id="rId9"/>
    <sheet name="P&amp;L" sheetId="3" r:id="rId10"/>
    <sheet name="Costs" sheetId="15" r:id="rId11"/>
    <sheet name="Balance Sheet" sheetId="4" r:id="rId12"/>
    <sheet name="Cash Flow" sheetId="13" r:id="rId13"/>
    <sheet name="Results by Division" sheetId="6" r:id="rId14"/>
    <sheet name="Volumes" sheetId="7" r:id="rId15"/>
    <sheet name="Quarterly data" sheetId="8" r:id="rId16"/>
    <sheet name="Sep-P&amp;L" sheetId="12" r:id="rId17"/>
    <sheet name="Sep-BS" sheetId="33" r:id="rId18"/>
    <sheet name="Sep-Changes in Equity" sheetId="34" r:id="rId19"/>
    <sheet name="Plants-Summary" sheetId="31" r:id="rId20"/>
    <sheet name="Plants-Thermo" sheetId="9" r:id="rId21"/>
    <sheet name="Plants-Hydro " sheetId="16" r:id="rId22"/>
    <sheet name="Plants-RES" sheetId="17" r:id="rId23"/>
    <sheet name="Plants-E.Efficiency" sheetId="18" r:id="rId24"/>
    <sheet name="Environment" sheetId="25" r:id="rId25"/>
    <sheet name="Social" sheetId="35" r:id="rId26"/>
  </sheets>
  <definedNames>
    <definedName name="_xlchart.v1.4" hidden="1">'FS Input'!$L$3:$S$3</definedName>
    <definedName name="_xlchart.v1.5" hidden="1">'FS Input'!$L$4:$S$4</definedName>
    <definedName name="_xlchart.v5.0" hidden="1">'Plants Input'!$M$39:$M$40</definedName>
    <definedName name="_xlchart.v5.1" hidden="1">'Plants Input'!$M$41</definedName>
    <definedName name="_xlchart.v5.2" hidden="1">'Plants Input'!$N$39:$AD$40</definedName>
    <definedName name="_xlchart.v5.3" hidden="1">'Plants Input'!$N$41:$AD$41</definedName>
    <definedName name="_xlnm.Print_Area" localSheetId="19">'Plants-Summary'!$A$1:$K$62</definedName>
    <definedName name="_xlnm.Print_Area" localSheetId="20">'Plants-Thermo'!$A$1:$O$39</definedName>
    <definedName name="FiltroDati_Category">#N/A</definedName>
    <definedName name="FiltroDati_Category1">#N/A</definedName>
    <definedName name="FiltroDati_Category2">#N/A</definedName>
    <definedName name="FiltroDati_Category3">#N/A</definedName>
    <definedName name="FiltroDati_Category4">#N/A</definedName>
    <definedName name="FiltroDati_Category5">#N/A</definedName>
    <definedName name="FiltroDati_Category6">#N/A</definedName>
    <definedName name="FiltroDati_Measure_unit">#N/A</definedName>
    <definedName name="FiltroDati_Subcategory">#N/A</definedName>
    <definedName name="FiltroDati_Technology">#N/A</definedName>
    <definedName name="FiltroDati_Year">#N/A</definedName>
    <definedName name="FiltroDati_Year1">#N/A</definedName>
    <definedName name="FiltroDati_Year2">#N/A</definedName>
    <definedName name="FiltroDati_Year3">#N/A</definedName>
    <definedName name="FiltroDati_Year4">#N/A</definedName>
    <definedName name="FiltroDati_Year6">#N/A</definedName>
  </definedNames>
  <calcPr calcId="179017"/>
  <pivotCaches>
    <pivotCache cacheId="0" r:id="rId27"/>
    <pivotCache cacheId="1" r:id="rId28"/>
    <pivotCache cacheId="2" r:id="rId29"/>
    <pivotCache cacheId="3" r:id="rId30"/>
    <pivotCache cacheId="4" r:id="rId31"/>
    <pivotCache cacheId="5" r:id="rId32"/>
    <pivotCache cacheId="6" r:id="rId33"/>
  </pivotCaches>
  <extLst>
    <ext xmlns:x14="http://schemas.microsoft.com/office/spreadsheetml/2009/9/main" uri="{BBE1A952-AA13-448e-AADC-164F8A28A991}">
      <x14:slicerCaches>
        <x14:slicerCache r:id="rId34"/>
        <x14:slicerCache r:id="rId35"/>
        <x14:slicerCache r:id="rId36"/>
        <x14:slicerCache r:id="rId37"/>
        <x14:slicerCache r:id="rId38"/>
        <x14:slicerCache r:id="rId39"/>
        <x14:slicerCache r:id="rId40"/>
        <x14:slicerCache r:id="rId41"/>
        <x14:slicerCache r:id="rId42"/>
        <x14:slicerCache r:id="rId43"/>
        <x14:slicerCache r:id="rId44"/>
        <x14:slicerCache r:id="rId45"/>
        <x14:slicerCache r:id="rId46"/>
        <x14:slicerCache r:id="rId47"/>
        <x14:slicerCache r:id="rId48"/>
        <x14:slicerCache r:id="rId4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0" i="31" l="1"/>
  <c r="G39" i="31"/>
  <c r="G38" i="31"/>
  <c r="G37" i="31" l="1"/>
  <c r="E73" i="18" l="1"/>
  <c r="D73" i="18"/>
  <c r="L58" i="18"/>
  <c r="L19" i="18"/>
  <c r="H44" i="17"/>
  <c r="I44" i="17"/>
  <c r="H33" i="17"/>
  <c r="I33" i="17"/>
  <c r="F45" i="31"/>
  <c r="F52" i="31" s="1"/>
  <c r="AU176" i="8" l="1"/>
  <c r="AU168" i="8"/>
  <c r="AN176" i="8"/>
  <c r="AN168" i="8"/>
  <c r="AU151" i="8"/>
  <c r="AN151" i="8"/>
  <c r="AU141" i="8"/>
  <c r="AN141" i="8"/>
  <c r="AR136" i="8"/>
  <c r="AN118" i="8"/>
  <c r="AN124" i="8" s="1"/>
  <c r="AU124" i="8"/>
  <c r="AU118" i="8"/>
  <c r="AU103" i="8"/>
  <c r="AU96" i="8"/>
  <c r="AN103" i="8"/>
  <c r="AN96" i="8"/>
  <c r="AN81" i="8"/>
  <c r="AU81" i="8"/>
  <c r="AR151" i="8"/>
  <c r="AR141" i="8"/>
  <c r="AR103" i="8"/>
  <c r="AR96" i="8"/>
  <c r="AR168" i="8"/>
  <c r="AR118" i="8"/>
  <c r="AU60" i="8"/>
  <c r="AR60" i="8"/>
  <c r="AN60" i="8"/>
  <c r="AN49" i="8"/>
  <c r="AN45" i="8"/>
  <c r="AN41" i="8"/>
  <c r="AN37" i="8"/>
  <c r="AN34" i="8"/>
  <c r="AN32" i="8"/>
  <c r="AN27" i="8"/>
  <c r="AN24" i="8"/>
  <c r="AN15" i="8"/>
  <c r="AU49" i="8"/>
  <c r="AU45" i="8"/>
  <c r="AU41" i="8"/>
  <c r="AU37" i="8"/>
  <c r="AU34" i="8"/>
  <c r="AU32" i="8"/>
  <c r="AU24" i="8"/>
  <c r="AU15" i="8"/>
  <c r="G95" i="6" l="1"/>
  <c r="G94" i="6"/>
  <c r="G76" i="6"/>
  <c r="F95" i="6"/>
  <c r="E95" i="6"/>
  <c r="F94" i="6"/>
  <c r="E94" i="6"/>
  <c r="F76" i="6"/>
  <c r="E76" i="6"/>
  <c r="D95" i="6"/>
  <c r="C95" i="6"/>
  <c r="D94" i="6"/>
  <c r="C94" i="6"/>
  <c r="D76" i="6"/>
  <c r="C76" i="6"/>
  <c r="C73" i="20" l="1"/>
  <c r="C69" i="20"/>
  <c r="C55" i="20"/>
  <c r="C51" i="20"/>
  <c r="C37" i="20"/>
  <c r="C33" i="20"/>
  <c r="C19" i="20"/>
  <c r="C15" i="20"/>
  <c r="AG121" i="8" l="1"/>
  <c r="AK78" i="8"/>
  <c r="O79" i="8"/>
  <c r="H79" i="8"/>
  <c r="I78" i="8"/>
  <c r="I79" i="8"/>
  <c r="M79" i="8"/>
  <c r="F79" i="8"/>
  <c r="K79" i="8"/>
  <c r="D79" i="8"/>
  <c r="C37" i="31" l="1"/>
  <c r="C45" i="31" s="1"/>
  <c r="C52" i="31" s="1"/>
  <c r="D38" i="31" l="1"/>
  <c r="D37" i="31" s="1"/>
  <c r="D45" i="31" s="1"/>
  <c r="D52" i="31" s="1"/>
  <c r="E38" i="31"/>
  <c r="E45" i="31"/>
  <c r="E52" i="31" s="1"/>
  <c r="E64" i="33" l="1"/>
  <c r="E63" i="33" s="1"/>
  <c r="E65" i="33"/>
  <c r="F44" i="33"/>
  <c r="E58" i="33"/>
  <c r="E49" i="33"/>
  <c r="E36" i="33"/>
  <c r="E32" i="33"/>
  <c r="E22" i="33"/>
  <c r="E20" i="33"/>
  <c r="E17" i="33"/>
  <c r="E15" i="33"/>
  <c r="E40" i="12"/>
  <c r="E36" i="12"/>
  <c r="E38" i="12"/>
  <c r="E37" i="12"/>
  <c r="E17" i="12"/>
  <c r="E21" i="12"/>
  <c r="E29" i="12" s="1"/>
  <c r="E44" i="12" s="1"/>
  <c r="E48" i="12" s="1"/>
  <c r="E15" i="12"/>
  <c r="F27" i="33"/>
  <c r="F30" i="33"/>
  <c r="G30" i="33"/>
  <c r="H30" i="33"/>
  <c r="F20" i="33"/>
  <c r="G20" i="33"/>
  <c r="H20" i="33"/>
  <c r="C15" i="33"/>
  <c r="C20" i="33"/>
  <c r="D15" i="33"/>
  <c r="D20" i="33"/>
  <c r="F15" i="33"/>
  <c r="E68" i="33" l="1"/>
  <c r="E72" i="33" s="1"/>
  <c r="C65" i="4"/>
  <c r="D65" i="4"/>
  <c r="E65" i="4"/>
  <c r="F65" i="4"/>
  <c r="G65" i="4"/>
  <c r="C29" i="4"/>
  <c r="D29" i="4"/>
  <c r="E29" i="4"/>
  <c r="C19" i="4"/>
  <c r="E19" i="4"/>
  <c r="D19" i="4"/>
  <c r="G19" i="4"/>
  <c r="F19" i="4"/>
  <c r="C15" i="4"/>
  <c r="D15" i="4"/>
  <c r="E15" i="4"/>
  <c r="I16" i="29" l="1"/>
  <c r="Z16" i="29"/>
  <c r="AA16" i="29"/>
  <c r="AB16" i="29"/>
  <c r="AC16" i="29"/>
  <c r="AD16" i="29"/>
  <c r="AE16" i="29"/>
  <c r="S16" i="29"/>
  <c r="T16" i="29"/>
  <c r="U16" i="29"/>
  <c r="V16" i="29"/>
  <c r="W16" i="29"/>
  <c r="X16" i="29"/>
  <c r="L16" i="29"/>
  <c r="M16" i="29"/>
  <c r="N16" i="29"/>
  <c r="O16" i="29"/>
  <c r="P16" i="29"/>
  <c r="Q16" i="29"/>
  <c r="E16" i="29"/>
  <c r="F16" i="29"/>
  <c r="G16" i="29"/>
  <c r="H16" i="29"/>
  <c r="J16" i="29"/>
  <c r="M24" i="24" l="1"/>
  <c r="N24" i="24"/>
  <c r="O24" i="24"/>
  <c r="P24" i="24"/>
  <c r="D14" i="31" l="1"/>
  <c r="D70" i="7" l="1"/>
  <c r="E70" i="7"/>
  <c r="F70" i="7"/>
  <c r="G70" i="7"/>
  <c r="C70" i="7"/>
  <c r="D59" i="7"/>
  <c r="E59" i="7"/>
  <c r="F59" i="7"/>
  <c r="G59" i="7"/>
  <c r="C59" i="7"/>
  <c r="D47" i="7"/>
  <c r="E47" i="7"/>
  <c r="F47" i="7"/>
  <c r="G47" i="7"/>
  <c r="C47" i="7"/>
  <c r="D21" i="7"/>
  <c r="E21" i="7"/>
  <c r="F21" i="7"/>
  <c r="G21" i="7"/>
  <c r="C21" i="7"/>
  <c r="D29" i="7"/>
  <c r="E29" i="7"/>
  <c r="F29" i="7"/>
  <c r="G29" i="7"/>
  <c r="C29" i="7"/>
  <c r="G20" i="6"/>
  <c r="F20" i="6"/>
  <c r="D179" i="8" l="1"/>
  <c r="E159" i="8"/>
  <c r="G159" i="8"/>
  <c r="I159" i="8"/>
  <c r="J159" i="8"/>
  <c r="L159" i="8"/>
  <c r="N159" i="8"/>
  <c r="P159" i="8"/>
  <c r="Q159" i="8"/>
  <c r="S159" i="8"/>
  <c r="U159" i="8"/>
  <c r="W159" i="8"/>
  <c r="X159" i="8"/>
  <c r="Z159" i="8"/>
  <c r="AB159" i="8"/>
  <c r="AD159" i="8"/>
  <c r="AE159" i="8"/>
  <c r="AG159" i="8"/>
  <c r="AI159" i="8"/>
  <c r="AK159" i="8"/>
  <c r="AS159" i="8"/>
  <c r="C159" i="8"/>
  <c r="AS151" i="8"/>
  <c r="AK151" i="8"/>
  <c r="AI151" i="8"/>
  <c r="AG151" i="8"/>
  <c r="AE151" i="8"/>
  <c r="AD151" i="8"/>
  <c r="AB151" i="8"/>
  <c r="Z151" i="8"/>
  <c r="X151" i="8"/>
  <c r="W151" i="8"/>
  <c r="U151" i="8"/>
  <c r="S151" i="8"/>
  <c r="Q151" i="8"/>
  <c r="P151" i="8"/>
  <c r="N151" i="8"/>
  <c r="L151" i="8"/>
  <c r="J151" i="8"/>
  <c r="I151" i="8"/>
  <c r="G151" i="8"/>
  <c r="E151" i="8"/>
  <c r="C151" i="8"/>
  <c r="E141" i="8"/>
  <c r="G141" i="8"/>
  <c r="I141" i="8"/>
  <c r="J141" i="8"/>
  <c r="L141" i="8"/>
  <c r="N141" i="8"/>
  <c r="P141" i="8"/>
  <c r="Q141" i="8"/>
  <c r="S141" i="8"/>
  <c r="U141" i="8"/>
  <c r="W141" i="8"/>
  <c r="X141" i="8"/>
  <c r="Z141" i="8"/>
  <c r="AB141" i="8"/>
  <c r="AD141" i="8"/>
  <c r="AE141" i="8"/>
  <c r="AG141" i="8"/>
  <c r="AI141" i="8"/>
  <c r="AK141" i="8"/>
  <c r="AS141" i="8"/>
  <c r="C141" i="8"/>
  <c r="E103" i="8"/>
  <c r="G103" i="8"/>
  <c r="I103" i="8"/>
  <c r="J103" i="8"/>
  <c r="L103" i="8"/>
  <c r="N103" i="8"/>
  <c r="P103" i="8"/>
  <c r="Q103" i="8"/>
  <c r="S103" i="8"/>
  <c r="U103" i="8"/>
  <c r="W103" i="8"/>
  <c r="X103" i="8"/>
  <c r="Z103" i="8"/>
  <c r="AB103" i="8"/>
  <c r="AD103" i="8"/>
  <c r="AE103" i="8"/>
  <c r="AG103" i="8"/>
  <c r="AI103" i="8"/>
  <c r="AK103" i="8"/>
  <c r="AS103" i="8"/>
  <c r="C103" i="8"/>
  <c r="E96" i="8"/>
  <c r="G96" i="8"/>
  <c r="I96" i="8"/>
  <c r="J96" i="8"/>
  <c r="L96" i="8"/>
  <c r="N96" i="8"/>
  <c r="P96" i="8"/>
  <c r="Q96" i="8"/>
  <c r="S96" i="8"/>
  <c r="U96" i="8"/>
  <c r="W96" i="8"/>
  <c r="X96" i="8"/>
  <c r="Z96" i="8"/>
  <c r="AB96" i="8"/>
  <c r="AD96" i="8"/>
  <c r="AE96" i="8"/>
  <c r="AG96" i="8"/>
  <c r="AI96" i="8"/>
  <c r="AK96" i="8"/>
  <c r="AS96" i="8"/>
  <c r="C96" i="8"/>
  <c r="E33" i="13"/>
  <c r="H81" i="8"/>
  <c r="F39" i="35"/>
  <c r="E39" i="35"/>
  <c r="D39" i="35"/>
  <c r="C36" i="35"/>
  <c r="C39" i="35" s="1"/>
  <c r="F32" i="35"/>
  <c r="E32" i="35"/>
  <c r="D32" i="35"/>
  <c r="C32" i="35"/>
  <c r="F23" i="35"/>
  <c r="E23" i="35"/>
  <c r="D23" i="35"/>
  <c r="C20" i="35"/>
  <c r="C23" i="35" s="1"/>
  <c r="F16" i="35"/>
  <c r="E16" i="35"/>
  <c r="D16" i="35"/>
  <c r="C16" i="35"/>
  <c r="C19" i="25"/>
  <c r="D19" i="25"/>
  <c r="D30" i="25" s="1"/>
  <c r="E19" i="25"/>
  <c r="F19" i="25"/>
  <c r="F30" i="25" s="1"/>
  <c r="C23" i="25"/>
  <c r="D23" i="25"/>
  <c r="E23" i="25"/>
  <c r="F23" i="25"/>
  <c r="C28" i="25"/>
  <c r="C30" i="25" s="1"/>
  <c r="D28" i="25"/>
  <c r="E28" i="25"/>
  <c r="F28" i="25"/>
  <c r="E30" i="25"/>
  <c r="M41" i="14" l="1"/>
  <c r="F67" i="4" l="1"/>
  <c r="G67" i="4"/>
  <c r="C58" i="4"/>
  <c r="F52" i="4"/>
  <c r="G52" i="4"/>
  <c r="C67" i="4"/>
  <c r="D67" i="4"/>
  <c r="E67" i="4"/>
  <c r="D58" i="4"/>
  <c r="E58" i="4"/>
  <c r="C44" i="4"/>
  <c r="C48" i="4" s="1"/>
  <c r="D44" i="4"/>
  <c r="D48" i="4" s="1"/>
  <c r="E44" i="4"/>
  <c r="E48" i="4" s="1"/>
  <c r="F44" i="4"/>
  <c r="F48" i="4" s="1"/>
  <c r="G44" i="4"/>
  <c r="G48" i="4" s="1"/>
  <c r="C21" i="4"/>
  <c r="C35" i="4" s="1"/>
  <c r="E21" i="4"/>
  <c r="F31" i="4"/>
  <c r="C31" i="4"/>
  <c r="D31" i="4"/>
  <c r="E31" i="4"/>
  <c r="G31" i="4"/>
  <c r="F21" i="4"/>
  <c r="F35" i="4" s="1"/>
  <c r="D21" i="4"/>
  <c r="D35" i="4" s="1"/>
  <c r="G21" i="4"/>
  <c r="G35" i="4" s="1"/>
  <c r="C58" i="33"/>
  <c r="E35" i="4" l="1"/>
  <c r="F58" i="4"/>
  <c r="F71" i="4" s="1"/>
  <c r="E71" i="4"/>
  <c r="C71" i="4"/>
  <c r="C72" i="4" s="1"/>
  <c r="D71" i="4"/>
  <c r="G58" i="4"/>
  <c r="G71" i="4" s="1"/>
  <c r="L61" i="18"/>
  <c r="J61" i="18"/>
  <c r="B61" i="18"/>
  <c r="B63" i="18" s="1"/>
  <c r="L59" i="18"/>
  <c r="L57" i="18"/>
  <c r="L56" i="18"/>
  <c r="L52" i="18"/>
  <c r="J52" i="18"/>
  <c r="B52" i="18"/>
  <c r="L50" i="18"/>
  <c r="L49" i="18"/>
  <c r="L48" i="18"/>
  <c r="L44" i="18"/>
  <c r="J44" i="18"/>
  <c r="B44" i="18"/>
  <c r="L42" i="18"/>
  <c r="L38" i="18"/>
  <c r="J38" i="18"/>
  <c r="B38" i="18"/>
  <c r="L36" i="18"/>
  <c r="J32" i="18"/>
  <c r="B32" i="18"/>
  <c r="L30" i="18"/>
  <c r="L29" i="18"/>
  <c r="L28" i="18"/>
  <c r="L27" i="18"/>
  <c r="L26" i="18"/>
  <c r="L25" i="18"/>
  <c r="L24" i="18"/>
  <c r="D72" i="18" s="1"/>
  <c r="H72" i="18" s="1"/>
  <c r="C23" i="31" s="1"/>
  <c r="L23" i="18"/>
  <c r="L22" i="18"/>
  <c r="H78" i="18"/>
  <c r="E78" i="18"/>
  <c r="D78" i="18"/>
  <c r="L21" i="18"/>
  <c r="I77" i="18"/>
  <c r="H77" i="18"/>
  <c r="G77" i="18"/>
  <c r="F77" i="18"/>
  <c r="L20" i="18"/>
  <c r="G76" i="18"/>
  <c r="F76" i="18"/>
  <c r="E76" i="18"/>
  <c r="I76" i="18" s="1"/>
  <c r="D76" i="18"/>
  <c r="I75" i="18"/>
  <c r="H75" i="18"/>
  <c r="C24" i="31" s="1"/>
  <c r="E75" i="18"/>
  <c r="D75" i="18"/>
  <c r="L18" i="18"/>
  <c r="I74" i="18"/>
  <c r="J25" i="31" s="1"/>
  <c r="H74" i="18"/>
  <c r="I25" i="31" s="1"/>
  <c r="E74" i="18"/>
  <c r="D74" i="18"/>
  <c r="L17" i="18"/>
  <c r="I73" i="18"/>
  <c r="H73" i="18"/>
  <c r="L16" i="18"/>
  <c r="I72" i="18"/>
  <c r="G72" i="18"/>
  <c r="F72" i="18"/>
  <c r="E72" i="18"/>
  <c r="L15" i="18"/>
  <c r="G71" i="18"/>
  <c r="G80" i="18" s="1"/>
  <c r="F71" i="18"/>
  <c r="E71" i="18"/>
  <c r="G65" i="17"/>
  <c r="B65" i="17"/>
  <c r="H63" i="17"/>
  <c r="H62" i="17"/>
  <c r="H61" i="17"/>
  <c r="I60" i="17"/>
  <c r="I59" i="17"/>
  <c r="I58" i="17"/>
  <c r="I57" i="17"/>
  <c r="G53" i="17"/>
  <c r="G67" i="17" s="1"/>
  <c r="B53" i="17"/>
  <c r="D13" i="31" s="1"/>
  <c r="I51" i="17"/>
  <c r="H51" i="17"/>
  <c r="I50" i="17"/>
  <c r="H50" i="17"/>
  <c r="I49" i="17"/>
  <c r="H49" i="17"/>
  <c r="I48" i="17"/>
  <c r="H48" i="17"/>
  <c r="I47" i="17"/>
  <c r="H47" i="17"/>
  <c r="I46" i="17"/>
  <c r="H46" i="17"/>
  <c r="I45" i="17"/>
  <c r="H45" i="17"/>
  <c r="I43" i="17"/>
  <c r="H43" i="17"/>
  <c r="I42" i="17"/>
  <c r="H42" i="17"/>
  <c r="I41" i="17"/>
  <c r="H41" i="17"/>
  <c r="I40" i="17"/>
  <c r="H40" i="17"/>
  <c r="I39" i="17"/>
  <c r="H39" i="17"/>
  <c r="I38" i="17"/>
  <c r="H38" i="17"/>
  <c r="I37" i="17"/>
  <c r="H37" i="17"/>
  <c r="I36" i="17"/>
  <c r="H36" i="17"/>
  <c r="I35" i="17"/>
  <c r="H35" i="17"/>
  <c r="I34" i="17"/>
  <c r="H34" i="17"/>
  <c r="I32" i="17"/>
  <c r="H32" i="17"/>
  <c r="I31" i="17"/>
  <c r="H31" i="17"/>
  <c r="I30" i="17"/>
  <c r="H30" i="17"/>
  <c r="I29" i="17"/>
  <c r="H29" i="17"/>
  <c r="I28" i="17"/>
  <c r="H28" i="17"/>
  <c r="I27" i="17"/>
  <c r="H27" i="17"/>
  <c r="I26" i="17"/>
  <c r="H26" i="17"/>
  <c r="I25" i="17"/>
  <c r="H25" i="17"/>
  <c r="I24" i="17"/>
  <c r="H24" i="17"/>
  <c r="I23" i="17"/>
  <c r="H23" i="17"/>
  <c r="I22" i="17"/>
  <c r="H22" i="17"/>
  <c r="I21" i="17"/>
  <c r="H21" i="17"/>
  <c r="I20" i="17"/>
  <c r="H20" i="17"/>
  <c r="I19" i="17"/>
  <c r="H19" i="17"/>
  <c r="I18" i="17"/>
  <c r="H18" i="17"/>
  <c r="I17" i="17"/>
  <c r="H17" i="17"/>
  <c r="I16" i="17"/>
  <c r="H16" i="17"/>
  <c r="I15" i="17"/>
  <c r="H15" i="17"/>
  <c r="I14" i="17"/>
  <c r="H14" i="17"/>
  <c r="K108" i="16"/>
  <c r="I108" i="16"/>
  <c r="B108" i="16"/>
  <c r="K104" i="16"/>
  <c r="I104" i="16"/>
  <c r="B104" i="16"/>
  <c r="K102" i="16"/>
  <c r="K101" i="16"/>
  <c r="K100" i="16"/>
  <c r="K85" i="16"/>
  <c r="K84" i="16"/>
  <c r="K83" i="16"/>
  <c r="K82" i="16"/>
  <c r="K81" i="16"/>
  <c r="K80" i="16"/>
  <c r="K79" i="16"/>
  <c r="K78" i="16"/>
  <c r="K77" i="16"/>
  <c r="K76" i="16"/>
  <c r="K75" i="16"/>
  <c r="K74" i="16"/>
  <c r="K73" i="16"/>
  <c r="K72" i="16"/>
  <c r="K71" i="16"/>
  <c r="K70" i="16"/>
  <c r="K69" i="16"/>
  <c r="K68" i="16"/>
  <c r="K67" i="16"/>
  <c r="K66" i="16"/>
  <c r="K65" i="16"/>
  <c r="K64" i="16"/>
  <c r="K63" i="16"/>
  <c r="K62" i="16"/>
  <c r="K61" i="16"/>
  <c r="K60" i="16"/>
  <c r="K59" i="16"/>
  <c r="K58" i="16"/>
  <c r="K57" i="16"/>
  <c r="K56" i="16"/>
  <c r="K55" i="16"/>
  <c r="K54" i="16"/>
  <c r="K53" i="16"/>
  <c r="K52" i="16"/>
  <c r="K51" i="16"/>
  <c r="K47" i="16"/>
  <c r="K46" i="16"/>
  <c r="K45" i="16"/>
  <c r="K44" i="16"/>
  <c r="K43" i="16"/>
  <c r="K42" i="16"/>
  <c r="K41" i="16"/>
  <c r="K40" i="16"/>
  <c r="K39" i="16"/>
  <c r="K38" i="16"/>
  <c r="K37" i="16"/>
  <c r="K36" i="16"/>
  <c r="K35" i="16"/>
  <c r="K34" i="16"/>
  <c r="K33" i="16"/>
  <c r="K32" i="16"/>
  <c r="K31" i="16"/>
  <c r="K30" i="16"/>
  <c r="K29" i="16"/>
  <c r="K28" i="16"/>
  <c r="K27" i="16"/>
  <c r="K26" i="16"/>
  <c r="K25" i="16"/>
  <c r="K24" i="16"/>
  <c r="K23" i="16"/>
  <c r="K22" i="16"/>
  <c r="K21" i="16"/>
  <c r="K20" i="16"/>
  <c r="K19" i="16"/>
  <c r="K18" i="16"/>
  <c r="K17" i="16"/>
  <c r="L37" i="9"/>
  <c r="J37" i="9"/>
  <c r="B37" i="9"/>
  <c r="L35" i="9"/>
  <c r="L34" i="9"/>
  <c r="L33" i="9"/>
  <c r="B29" i="9"/>
  <c r="J27" i="9"/>
  <c r="J29" i="9" s="1"/>
  <c r="B27" i="9"/>
  <c r="L25" i="9"/>
  <c r="L24" i="9"/>
  <c r="L23" i="9"/>
  <c r="L22" i="9"/>
  <c r="L27" i="9" s="1"/>
  <c r="L29" i="9" s="1"/>
  <c r="C11" i="31" s="1"/>
  <c r="G36" i="31" s="1"/>
  <c r="L21" i="9"/>
  <c r="L20" i="9"/>
  <c r="L19" i="9"/>
  <c r="L18" i="9"/>
  <c r="L17" i="9"/>
  <c r="L16" i="9"/>
  <c r="L15" i="9"/>
  <c r="L14" i="9"/>
  <c r="D25" i="31"/>
  <c r="C25" i="31"/>
  <c r="J24" i="31"/>
  <c r="I24" i="31"/>
  <c r="D24" i="31"/>
  <c r="J23" i="31"/>
  <c r="I23" i="31"/>
  <c r="D23" i="31"/>
  <c r="J12" i="31"/>
  <c r="I12" i="31"/>
  <c r="G50" i="31" s="1"/>
  <c r="D12" i="31"/>
  <c r="C12" i="31"/>
  <c r="J11" i="31"/>
  <c r="J17" i="31" s="1"/>
  <c r="I11" i="31"/>
  <c r="D11" i="31"/>
  <c r="J46" i="34"/>
  <c r="I45" i="34"/>
  <c r="H45" i="34"/>
  <c r="G45" i="34"/>
  <c r="F45" i="34"/>
  <c r="J44" i="34"/>
  <c r="J43" i="34"/>
  <c r="J40" i="34"/>
  <c r="J36" i="34"/>
  <c r="I35" i="34"/>
  <c r="H35" i="34"/>
  <c r="G35" i="34"/>
  <c r="F35" i="34"/>
  <c r="E35" i="34"/>
  <c r="J34" i="34"/>
  <c r="J33" i="34"/>
  <c r="J32" i="34"/>
  <c r="J27" i="34"/>
  <c r="J26" i="34"/>
  <c r="I24" i="34"/>
  <c r="H24" i="34"/>
  <c r="G24" i="34"/>
  <c r="J23" i="34"/>
  <c r="J22" i="34"/>
  <c r="I19" i="34"/>
  <c r="H19" i="34"/>
  <c r="H29" i="34" s="1"/>
  <c r="G19" i="34"/>
  <c r="G29" i="34" s="1"/>
  <c r="F19" i="34"/>
  <c r="F29" i="34" s="1"/>
  <c r="D19" i="34"/>
  <c r="C19" i="34"/>
  <c r="J17" i="34"/>
  <c r="J16" i="34"/>
  <c r="J14" i="34"/>
  <c r="J11" i="34"/>
  <c r="H68" i="33"/>
  <c r="G68" i="33"/>
  <c r="C68" i="33"/>
  <c r="F65" i="33"/>
  <c r="D65" i="33"/>
  <c r="C65" i="33"/>
  <c r="F64" i="33"/>
  <c r="D63" i="33"/>
  <c r="F63" i="33"/>
  <c r="C63" i="33"/>
  <c r="F62" i="33"/>
  <c r="F68" i="33" s="1"/>
  <c r="D62" i="33"/>
  <c r="D68" i="33" s="1"/>
  <c r="C62" i="33"/>
  <c r="F58" i="33"/>
  <c r="D58" i="33"/>
  <c r="H56" i="33"/>
  <c r="H58" i="33" s="1"/>
  <c r="G56" i="33"/>
  <c r="G58" i="33" s="1"/>
  <c r="G72" i="33" s="1"/>
  <c r="H49" i="33"/>
  <c r="H72" i="33" s="1"/>
  <c r="G49" i="33"/>
  <c r="D49" i="33"/>
  <c r="D72" i="33" s="1"/>
  <c r="C49" i="33"/>
  <c r="C72" i="33" s="1"/>
  <c r="F49" i="33"/>
  <c r="F72" i="33" s="1"/>
  <c r="H32" i="33"/>
  <c r="F32" i="33"/>
  <c r="D32" i="33"/>
  <c r="C32" i="33"/>
  <c r="H27" i="33"/>
  <c r="G27" i="33"/>
  <c r="G32" i="33" s="1"/>
  <c r="H22" i="33"/>
  <c r="G22" i="33"/>
  <c r="D22" i="33"/>
  <c r="D36" i="33" s="1"/>
  <c r="F17" i="33"/>
  <c r="F22" i="33" s="1"/>
  <c r="D17" i="33"/>
  <c r="C17" i="33"/>
  <c r="C22" i="33" s="1"/>
  <c r="C36" i="33" s="1"/>
  <c r="D38" i="12"/>
  <c r="C38" i="12"/>
  <c r="D37" i="12"/>
  <c r="C37" i="12"/>
  <c r="D36" i="12"/>
  <c r="C36" i="12"/>
  <c r="F17" i="12"/>
  <c r="D17" i="12"/>
  <c r="C17" i="12"/>
  <c r="H15" i="12"/>
  <c r="H21" i="12" s="1"/>
  <c r="G15" i="12"/>
  <c r="G21" i="12" s="1"/>
  <c r="F15" i="12"/>
  <c r="D15" i="12"/>
  <c r="C15" i="12"/>
  <c r="O179" i="8"/>
  <c r="M179" i="8"/>
  <c r="K179" i="8"/>
  <c r="H179" i="8"/>
  <c r="F179" i="8"/>
  <c r="O178" i="8"/>
  <c r="M178" i="8"/>
  <c r="K178" i="8"/>
  <c r="H178" i="8"/>
  <c r="F178" i="8"/>
  <c r="D178" i="8"/>
  <c r="AK176" i="8"/>
  <c r="AG176" i="8"/>
  <c r="Z176" i="8"/>
  <c r="W176" i="8"/>
  <c r="S176" i="8"/>
  <c r="P176" i="8"/>
  <c r="N176" i="8"/>
  <c r="L176" i="8"/>
  <c r="J176" i="8"/>
  <c r="I176" i="8"/>
  <c r="G176" i="8"/>
  <c r="E176" i="8"/>
  <c r="C176" i="8"/>
  <c r="AD174" i="8"/>
  <c r="AD176" i="8" s="1"/>
  <c r="O174" i="8"/>
  <c r="M174" i="8"/>
  <c r="K174" i="8"/>
  <c r="H174" i="8"/>
  <c r="F174" i="8"/>
  <c r="D174" i="8"/>
  <c r="AS173" i="8"/>
  <c r="AJ173" i="8"/>
  <c r="AH173" i="8"/>
  <c r="AF173" i="8"/>
  <c r="AC173" i="8"/>
  <c r="AA173" i="8"/>
  <c r="Y173" i="8"/>
  <c r="V173" i="8"/>
  <c r="T173" i="8"/>
  <c r="R173" i="8"/>
  <c r="O173" i="8"/>
  <c r="M173" i="8"/>
  <c r="K173" i="8"/>
  <c r="H173" i="8"/>
  <c r="F173" i="8"/>
  <c r="D173" i="8"/>
  <c r="AJ170" i="8"/>
  <c r="AH170" i="8"/>
  <c r="AF170" i="8"/>
  <c r="AC170" i="8"/>
  <c r="AA170" i="8"/>
  <c r="Y170" i="8"/>
  <c r="V170" i="8"/>
  <c r="T170" i="8"/>
  <c r="R170" i="8"/>
  <c r="O170" i="8"/>
  <c r="M170" i="8"/>
  <c r="K170" i="8"/>
  <c r="H170" i="8"/>
  <c r="F170" i="8"/>
  <c r="D170" i="8"/>
  <c r="AS168" i="8"/>
  <c r="AK168" i="8"/>
  <c r="AI168" i="8"/>
  <c r="AG168" i="8"/>
  <c r="AE168" i="8"/>
  <c r="AD168" i="8"/>
  <c r="AB168" i="8"/>
  <c r="Z168" i="8"/>
  <c r="X168" i="8"/>
  <c r="W168" i="8"/>
  <c r="U168" i="8"/>
  <c r="S168" i="8"/>
  <c r="Q168" i="8"/>
  <c r="P168" i="8"/>
  <c r="N168" i="8"/>
  <c r="L168" i="8"/>
  <c r="J168" i="8"/>
  <c r="I168" i="8"/>
  <c r="G168" i="8"/>
  <c r="E168" i="8"/>
  <c r="C168" i="8"/>
  <c r="AJ157" i="8"/>
  <c r="AH157" i="8"/>
  <c r="AF157" i="8"/>
  <c r="AC157" i="8"/>
  <c r="AA157" i="8"/>
  <c r="Y157" i="8"/>
  <c r="V157" i="8"/>
  <c r="T157" i="8"/>
  <c r="R157" i="8"/>
  <c r="O157" i="8"/>
  <c r="M157" i="8"/>
  <c r="K157" i="8"/>
  <c r="H157" i="8"/>
  <c r="F157" i="8"/>
  <c r="D157" i="8"/>
  <c r="AJ156" i="8"/>
  <c r="AH156" i="8"/>
  <c r="AF156" i="8"/>
  <c r="AC156" i="8"/>
  <c r="AA156" i="8"/>
  <c r="Y156" i="8"/>
  <c r="V156" i="8"/>
  <c r="T156" i="8"/>
  <c r="R156" i="8"/>
  <c r="O156" i="8"/>
  <c r="M156" i="8"/>
  <c r="K156" i="8"/>
  <c r="H156" i="8"/>
  <c r="F156" i="8"/>
  <c r="D156" i="8"/>
  <c r="AJ152" i="8"/>
  <c r="AH152" i="8"/>
  <c r="AF152" i="8"/>
  <c r="AC152" i="8"/>
  <c r="AA152" i="8"/>
  <c r="Y152" i="8"/>
  <c r="V152" i="8"/>
  <c r="T152" i="8"/>
  <c r="R152" i="8"/>
  <c r="O152" i="8"/>
  <c r="M152" i="8"/>
  <c r="K152" i="8"/>
  <c r="H152" i="8"/>
  <c r="F152" i="8"/>
  <c r="D152" i="8"/>
  <c r="AJ149" i="8"/>
  <c r="AH149" i="8"/>
  <c r="AF149" i="8"/>
  <c r="AC149" i="8"/>
  <c r="AA149" i="8"/>
  <c r="Y149" i="8"/>
  <c r="V149" i="8"/>
  <c r="T149" i="8"/>
  <c r="R149" i="8"/>
  <c r="O149" i="8"/>
  <c r="M149" i="8"/>
  <c r="K149" i="8"/>
  <c r="H149" i="8"/>
  <c r="F149" i="8"/>
  <c r="D149" i="8"/>
  <c r="AJ148" i="8"/>
  <c r="AH148" i="8"/>
  <c r="AF148" i="8"/>
  <c r="AC148" i="8"/>
  <c r="AA148" i="8"/>
  <c r="Y148" i="8"/>
  <c r="V148" i="8"/>
  <c r="T148" i="8"/>
  <c r="R148" i="8"/>
  <c r="O148" i="8"/>
  <c r="M148" i="8"/>
  <c r="K148" i="8"/>
  <c r="H148" i="8"/>
  <c r="F148" i="8"/>
  <c r="D148" i="8"/>
  <c r="AJ147" i="8"/>
  <c r="AH147" i="8"/>
  <c r="AF147" i="8"/>
  <c r="AC147" i="8"/>
  <c r="AA147" i="8"/>
  <c r="Y147" i="8"/>
  <c r="V147" i="8"/>
  <c r="T147" i="8"/>
  <c r="R147" i="8"/>
  <c r="O147" i="8"/>
  <c r="M147" i="8"/>
  <c r="K147" i="8"/>
  <c r="H147" i="8"/>
  <c r="F147" i="8"/>
  <c r="D147" i="8"/>
  <c r="AJ146" i="8"/>
  <c r="AH146" i="8"/>
  <c r="AF146" i="8"/>
  <c r="AC146" i="8"/>
  <c r="AA146" i="8"/>
  <c r="Y146" i="8"/>
  <c r="V146" i="8"/>
  <c r="T146" i="8"/>
  <c r="R146" i="8"/>
  <c r="O146" i="8"/>
  <c r="M146" i="8"/>
  <c r="K146" i="8"/>
  <c r="H146" i="8"/>
  <c r="F146" i="8"/>
  <c r="D146" i="8"/>
  <c r="AJ142" i="8"/>
  <c r="AH142" i="8"/>
  <c r="AF142" i="8"/>
  <c r="AC142" i="8"/>
  <c r="AA142" i="8"/>
  <c r="Y142" i="8"/>
  <c r="V142" i="8"/>
  <c r="T142" i="8"/>
  <c r="R142" i="8"/>
  <c r="O142" i="8"/>
  <c r="M142" i="8"/>
  <c r="K142" i="8"/>
  <c r="H142" i="8"/>
  <c r="F142" i="8"/>
  <c r="D142" i="8"/>
  <c r="AJ139" i="8"/>
  <c r="AH139" i="8"/>
  <c r="AF139" i="8"/>
  <c r="AC139" i="8"/>
  <c r="AA139" i="8"/>
  <c r="Y139" i="8"/>
  <c r="V139" i="8"/>
  <c r="T139" i="8"/>
  <c r="R139" i="8"/>
  <c r="O139" i="8"/>
  <c r="M139" i="8"/>
  <c r="K139" i="8"/>
  <c r="H139" i="8"/>
  <c r="F139" i="8"/>
  <c r="D139" i="8"/>
  <c r="AJ138" i="8"/>
  <c r="AH138" i="8"/>
  <c r="AF138" i="8"/>
  <c r="AC138" i="8"/>
  <c r="AA138" i="8"/>
  <c r="Y138" i="8"/>
  <c r="V138" i="8"/>
  <c r="T138" i="8"/>
  <c r="R138" i="8"/>
  <c r="O138" i="8"/>
  <c r="M138" i="8"/>
  <c r="K138" i="8"/>
  <c r="H138" i="8"/>
  <c r="F138" i="8"/>
  <c r="D138" i="8"/>
  <c r="AJ137" i="8"/>
  <c r="AH137" i="8"/>
  <c r="AF137" i="8"/>
  <c r="AC137" i="8"/>
  <c r="AA137" i="8"/>
  <c r="Y137" i="8"/>
  <c r="V137" i="8"/>
  <c r="T137" i="8"/>
  <c r="R137" i="8"/>
  <c r="O137" i="8"/>
  <c r="M137" i="8"/>
  <c r="K137" i="8"/>
  <c r="H137" i="8"/>
  <c r="F137" i="8"/>
  <c r="D137" i="8"/>
  <c r="AJ135" i="8"/>
  <c r="AH135" i="8"/>
  <c r="AF135" i="8"/>
  <c r="AC135" i="8"/>
  <c r="AA135" i="8"/>
  <c r="Y135" i="8"/>
  <c r="V135" i="8"/>
  <c r="T135" i="8"/>
  <c r="R135" i="8"/>
  <c r="O135" i="8"/>
  <c r="M135" i="8"/>
  <c r="K135" i="8"/>
  <c r="H135" i="8"/>
  <c r="F135" i="8"/>
  <c r="D135" i="8"/>
  <c r="O127" i="8"/>
  <c r="M127" i="8"/>
  <c r="K127" i="8"/>
  <c r="H127" i="8"/>
  <c r="F127" i="8"/>
  <c r="D127" i="8"/>
  <c r="O126" i="8"/>
  <c r="M126" i="8"/>
  <c r="K126" i="8"/>
  <c r="H126" i="8"/>
  <c r="F126" i="8"/>
  <c r="D126" i="8"/>
  <c r="O124" i="8"/>
  <c r="M124" i="8"/>
  <c r="K124" i="8"/>
  <c r="H124" i="8"/>
  <c r="F124" i="8"/>
  <c r="D124" i="8"/>
  <c r="O122" i="8"/>
  <c r="M122" i="8"/>
  <c r="H122" i="8"/>
  <c r="F122" i="8"/>
  <c r="AS121" i="8"/>
  <c r="AE121" i="8"/>
  <c r="AF121" i="8" s="1"/>
  <c r="R121" i="8"/>
  <c r="O121" i="8"/>
  <c r="M121" i="8"/>
  <c r="K121" i="8"/>
  <c r="H121" i="8"/>
  <c r="F121" i="8"/>
  <c r="D121" i="8"/>
  <c r="O120" i="8"/>
  <c r="M120" i="8"/>
  <c r="K120" i="8"/>
  <c r="H120" i="8"/>
  <c r="F120" i="8"/>
  <c r="D120" i="8"/>
  <c r="AJ118" i="8"/>
  <c r="AH118" i="8"/>
  <c r="AF118" i="8"/>
  <c r="AC118" i="8"/>
  <c r="AA118" i="8"/>
  <c r="Y118" i="8"/>
  <c r="V118" i="8"/>
  <c r="T118" i="8"/>
  <c r="R118" i="8"/>
  <c r="O118" i="8"/>
  <c r="M118" i="8"/>
  <c r="K118" i="8"/>
  <c r="H118" i="8"/>
  <c r="F118" i="8"/>
  <c r="D118" i="8"/>
  <c r="AJ117" i="8"/>
  <c r="AH117" i="8"/>
  <c r="AF117" i="8"/>
  <c r="AC117" i="8"/>
  <c r="AA117" i="8"/>
  <c r="Y117" i="8"/>
  <c r="V117" i="8"/>
  <c r="T117" i="8"/>
  <c r="R117" i="8"/>
  <c r="O117" i="8"/>
  <c r="M117" i="8"/>
  <c r="K117" i="8"/>
  <c r="H117" i="8"/>
  <c r="F117" i="8"/>
  <c r="D117" i="8"/>
  <c r="AJ116" i="8"/>
  <c r="AH116" i="8"/>
  <c r="AF116" i="8"/>
  <c r="AC116" i="8"/>
  <c r="AA116" i="8"/>
  <c r="Y116" i="8"/>
  <c r="V116" i="8"/>
  <c r="T116" i="8"/>
  <c r="R116" i="8"/>
  <c r="O116" i="8"/>
  <c r="M116" i="8"/>
  <c r="K116" i="8"/>
  <c r="H116" i="8"/>
  <c r="F116" i="8"/>
  <c r="D116" i="8"/>
  <c r="AC114" i="8"/>
  <c r="AA114" i="8"/>
  <c r="Y114" i="8"/>
  <c r="V114" i="8"/>
  <c r="T114" i="8"/>
  <c r="R114" i="8"/>
  <c r="O114" i="8"/>
  <c r="M114" i="8"/>
  <c r="K114" i="8"/>
  <c r="H114" i="8"/>
  <c r="F114" i="8"/>
  <c r="D114" i="8"/>
  <c r="AJ112" i="8"/>
  <c r="AH112" i="8"/>
  <c r="AF112" i="8"/>
  <c r="AC112" i="8"/>
  <c r="AA112" i="8"/>
  <c r="Y112" i="8"/>
  <c r="V112" i="8"/>
  <c r="T112" i="8"/>
  <c r="R112" i="8"/>
  <c r="O112" i="8"/>
  <c r="M112" i="8"/>
  <c r="K112" i="8"/>
  <c r="H112" i="8"/>
  <c r="F112" i="8"/>
  <c r="D112" i="8"/>
  <c r="AJ101" i="8"/>
  <c r="AH101" i="8"/>
  <c r="AF101" i="8"/>
  <c r="AC101" i="8"/>
  <c r="AA101" i="8"/>
  <c r="Y101" i="8"/>
  <c r="V101" i="8"/>
  <c r="T101" i="8"/>
  <c r="R101" i="8"/>
  <c r="O101" i="8"/>
  <c r="M101" i="8"/>
  <c r="K101" i="8"/>
  <c r="H101" i="8"/>
  <c r="F101" i="8"/>
  <c r="D101" i="8"/>
  <c r="AJ100" i="8"/>
  <c r="AH100" i="8"/>
  <c r="AF100" i="8"/>
  <c r="AC100" i="8"/>
  <c r="AA100" i="8"/>
  <c r="Y100" i="8"/>
  <c r="V100" i="8"/>
  <c r="T100" i="8"/>
  <c r="R100" i="8"/>
  <c r="O100" i="8"/>
  <c r="M100" i="8"/>
  <c r="K100" i="8"/>
  <c r="H100" i="8"/>
  <c r="F100" i="8"/>
  <c r="D100" i="8"/>
  <c r="AJ94" i="8"/>
  <c r="AH94" i="8"/>
  <c r="AF94" i="8"/>
  <c r="AC94" i="8"/>
  <c r="AA94" i="8"/>
  <c r="Y94" i="8"/>
  <c r="V94" i="8"/>
  <c r="T94" i="8"/>
  <c r="R94" i="8"/>
  <c r="O94" i="8"/>
  <c r="M94" i="8"/>
  <c r="K94" i="8"/>
  <c r="H94" i="8"/>
  <c r="F94" i="8"/>
  <c r="D94" i="8"/>
  <c r="AJ93" i="8"/>
  <c r="AH93" i="8"/>
  <c r="AF93" i="8"/>
  <c r="AC93" i="8"/>
  <c r="AA93" i="8"/>
  <c r="Y93" i="8"/>
  <c r="V93" i="8"/>
  <c r="T93" i="8"/>
  <c r="R93" i="8"/>
  <c r="O93" i="8"/>
  <c r="M93" i="8"/>
  <c r="K93" i="8"/>
  <c r="H93" i="8"/>
  <c r="F93" i="8"/>
  <c r="D93" i="8"/>
  <c r="AJ92" i="8"/>
  <c r="AH92" i="8"/>
  <c r="AF92" i="8"/>
  <c r="AC92" i="8"/>
  <c r="AA92" i="8"/>
  <c r="Y92" i="8"/>
  <c r="V92" i="8"/>
  <c r="T92" i="8"/>
  <c r="R92" i="8"/>
  <c r="O92" i="8"/>
  <c r="M92" i="8"/>
  <c r="K92" i="8"/>
  <c r="H92" i="8"/>
  <c r="F92" i="8"/>
  <c r="D92" i="8"/>
  <c r="AJ91" i="8"/>
  <c r="AH91" i="8"/>
  <c r="AF91" i="8"/>
  <c r="AC91" i="8"/>
  <c r="AA91" i="8"/>
  <c r="Y91" i="8"/>
  <c r="V91" i="8"/>
  <c r="T91" i="8"/>
  <c r="R91" i="8"/>
  <c r="O91" i="8"/>
  <c r="M91" i="8"/>
  <c r="K91" i="8"/>
  <c r="H91" i="8"/>
  <c r="F91" i="8"/>
  <c r="D91" i="8"/>
  <c r="O84" i="8"/>
  <c r="M84" i="8"/>
  <c r="K84" i="8"/>
  <c r="H84" i="8"/>
  <c r="F84" i="8"/>
  <c r="D84" i="8"/>
  <c r="O83" i="8"/>
  <c r="M83" i="8"/>
  <c r="K83" i="8"/>
  <c r="H83" i="8"/>
  <c r="F83" i="8"/>
  <c r="D83" i="8"/>
  <c r="O81" i="8"/>
  <c r="M81" i="8"/>
  <c r="K81" i="8"/>
  <c r="F81" i="8"/>
  <c r="D81" i="8"/>
  <c r="AS78" i="8"/>
  <c r="AE78" i="8"/>
  <c r="AF78" i="8" s="1"/>
  <c r="R78" i="8"/>
  <c r="O78" i="8"/>
  <c r="M78" i="8"/>
  <c r="K78" i="8"/>
  <c r="H78" i="8"/>
  <c r="F78" i="8"/>
  <c r="D78" i="8"/>
  <c r="O77" i="8"/>
  <c r="M77" i="8"/>
  <c r="K77" i="8"/>
  <c r="H77" i="8"/>
  <c r="F77" i="8"/>
  <c r="D77" i="8"/>
  <c r="AJ75" i="8"/>
  <c r="AH75" i="8"/>
  <c r="AF75" i="8"/>
  <c r="AC75" i="8"/>
  <c r="AA75" i="8"/>
  <c r="Y75" i="8"/>
  <c r="V75" i="8"/>
  <c r="T75" i="8"/>
  <c r="R75" i="8"/>
  <c r="O75" i="8"/>
  <c r="M75" i="8"/>
  <c r="K75" i="8"/>
  <c r="H75" i="8"/>
  <c r="F75" i="8"/>
  <c r="D75" i="8"/>
  <c r="AC74" i="8"/>
  <c r="AA74" i="8"/>
  <c r="Y74" i="8"/>
  <c r="V74" i="8"/>
  <c r="T74" i="8"/>
  <c r="R74" i="8"/>
  <c r="O74" i="8"/>
  <c r="M74" i="8"/>
  <c r="K74" i="8"/>
  <c r="H74" i="8"/>
  <c r="F74" i="8"/>
  <c r="D74" i="8"/>
  <c r="AJ72" i="8"/>
  <c r="AH72" i="8"/>
  <c r="AF72" i="8"/>
  <c r="AC72" i="8"/>
  <c r="AA72" i="8"/>
  <c r="Y72" i="8"/>
  <c r="V72" i="8"/>
  <c r="T72" i="8"/>
  <c r="R72" i="8"/>
  <c r="O72" i="8"/>
  <c r="M72" i="8"/>
  <c r="K72" i="8"/>
  <c r="H72" i="8"/>
  <c r="F72" i="8"/>
  <c r="D72" i="8"/>
  <c r="AJ47" i="8"/>
  <c r="AH47" i="8"/>
  <c r="AF47" i="8"/>
  <c r="AC47" i="8"/>
  <c r="AA47" i="8"/>
  <c r="Y47" i="8"/>
  <c r="V47" i="8"/>
  <c r="T47" i="8"/>
  <c r="R47" i="8"/>
  <c r="O47" i="8"/>
  <c r="M47" i="8"/>
  <c r="K47" i="8"/>
  <c r="H47" i="8"/>
  <c r="F47" i="8"/>
  <c r="D47" i="8"/>
  <c r="AJ43" i="8"/>
  <c r="AH43" i="8"/>
  <c r="AF43" i="8"/>
  <c r="AC43" i="8"/>
  <c r="AA43" i="8"/>
  <c r="Y43" i="8"/>
  <c r="V43" i="8"/>
  <c r="T43" i="8"/>
  <c r="R43" i="8"/>
  <c r="O43" i="8"/>
  <c r="M43" i="8"/>
  <c r="K43" i="8"/>
  <c r="H43" i="8"/>
  <c r="F43" i="8"/>
  <c r="D43" i="8"/>
  <c r="AJ39" i="8"/>
  <c r="AH39" i="8"/>
  <c r="AF39" i="8"/>
  <c r="AC39" i="8"/>
  <c r="AA39" i="8"/>
  <c r="Y39" i="8"/>
  <c r="V39" i="8"/>
  <c r="T39" i="8"/>
  <c r="R39" i="8"/>
  <c r="O39" i="8"/>
  <c r="M39" i="8"/>
  <c r="K39" i="8"/>
  <c r="H39" i="8"/>
  <c r="F39" i="8"/>
  <c r="D39" i="8"/>
  <c r="AJ35" i="8"/>
  <c r="AH35" i="8"/>
  <c r="AF35" i="8"/>
  <c r="AC35" i="8"/>
  <c r="AA35" i="8"/>
  <c r="Y35" i="8"/>
  <c r="V35" i="8"/>
  <c r="T35" i="8"/>
  <c r="R35" i="8"/>
  <c r="O35" i="8"/>
  <c r="M35" i="8"/>
  <c r="K35" i="8"/>
  <c r="H35" i="8"/>
  <c r="F35" i="8"/>
  <c r="D35" i="8"/>
  <c r="AJ34" i="8"/>
  <c r="AH34" i="8"/>
  <c r="AF34" i="8"/>
  <c r="AC34" i="8"/>
  <c r="AA34" i="8"/>
  <c r="Y34" i="8"/>
  <c r="V34" i="8"/>
  <c r="T34" i="8"/>
  <c r="R34" i="8"/>
  <c r="O34" i="8"/>
  <c r="M34" i="8"/>
  <c r="K34" i="8"/>
  <c r="H34" i="8"/>
  <c r="F34" i="8"/>
  <c r="D34" i="8"/>
  <c r="AJ30" i="8"/>
  <c r="AH30" i="8"/>
  <c r="AF30" i="8"/>
  <c r="AC30" i="8"/>
  <c r="AA30" i="8"/>
  <c r="Y30" i="8"/>
  <c r="V30" i="8"/>
  <c r="T30" i="8"/>
  <c r="R30" i="8"/>
  <c r="O30" i="8"/>
  <c r="M30" i="8"/>
  <c r="K30" i="8"/>
  <c r="H30" i="8"/>
  <c r="F30" i="8"/>
  <c r="D30" i="8"/>
  <c r="AJ29" i="8"/>
  <c r="AH29" i="8"/>
  <c r="AF29" i="8"/>
  <c r="AC29" i="8"/>
  <c r="AA29" i="8"/>
  <c r="Y29" i="8"/>
  <c r="V29" i="8"/>
  <c r="T29" i="8"/>
  <c r="R29" i="8"/>
  <c r="O29" i="8"/>
  <c r="M29" i="8"/>
  <c r="K29" i="8"/>
  <c r="H29" i="8"/>
  <c r="F29" i="8"/>
  <c r="D29" i="8"/>
  <c r="AJ28" i="8"/>
  <c r="AH28" i="8"/>
  <c r="AF28" i="8"/>
  <c r="AC28" i="8"/>
  <c r="AA28" i="8"/>
  <c r="Y28" i="8"/>
  <c r="V28" i="8"/>
  <c r="T28" i="8"/>
  <c r="R28" i="8"/>
  <c r="O28" i="8"/>
  <c r="M28" i="8"/>
  <c r="K28" i="8"/>
  <c r="H28" i="8"/>
  <c r="F28" i="8"/>
  <c r="D28" i="8"/>
  <c r="AJ27" i="8"/>
  <c r="AH27" i="8"/>
  <c r="AF27" i="8"/>
  <c r="AC27" i="8"/>
  <c r="AA27" i="8"/>
  <c r="Y27" i="8"/>
  <c r="V27" i="8"/>
  <c r="T27" i="8"/>
  <c r="R27" i="8"/>
  <c r="O27" i="8"/>
  <c r="M27" i="8"/>
  <c r="K27" i="8"/>
  <c r="H27" i="8"/>
  <c r="F27" i="8"/>
  <c r="D27" i="8"/>
  <c r="AJ26" i="8"/>
  <c r="AH26" i="8"/>
  <c r="AF26" i="8"/>
  <c r="AC26" i="8"/>
  <c r="AA26" i="8"/>
  <c r="Y26" i="8"/>
  <c r="V26" i="8"/>
  <c r="T26" i="8"/>
  <c r="R26" i="8"/>
  <c r="O26" i="8"/>
  <c r="M26" i="8"/>
  <c r="K26" i="8"/>
  <c r="H26" i="8"/>
  <c r="F26" i="8"/>
  <c r="D26" i="8"/>
  <c r="AJ22" i="8"/>
  <c r="AH22" i="8"/>
  <c r="AF22" i="8"/>
  <c r="AC22" i="8"/>
  <c r="AA22" i="8"/>
  <c r="Y22" i="8"/>
  <c r="V22" i="8"/>
  <c r="T22" i="8"/>
  <c r="R22" i="8"/>
  <c r="O22" i="8"/>
  <c r="M22" i="8"/>
  <c r="K22" i="8"/>
  <c r="H22" i="8"/>
  <c r="F22" i="8"/>
  <c r="D22" i="8"/>
  <c r="AJ21" i="8"/>
  <c r="AH21" i="8"/>
  <c r="AF21" i="8"/>
  <c r="AC21" i="8"/>
  <c r="AA21" i="8"/>
  <c r="Y21" i="8"/>
  <c r="V21" i="8"/>
  <c r="T21" i="8"/>
  <c r="R21" i="8"/>
  <c r="O21" i="8"/>
  <c r="M21" i="8"/>
  <c r="K21" i="8"/>
  <c r="H21" i="8"/>
  <c r="F21" i="8"/>
  <c r="D21" i="8"/>
  <c r="AS15" i="8"/>
  <c r="AS24" i="8" s="1"/>
  <c r="AS32" i="8" s="1"/>
  <c r="AS37" i="8" s="1"/>
  <c r="AS41" i="8" s="1"/>
  <c r="AS45" i="8" s="1"/>
  <c r="AS49" i="8" s="1"/>
  <c r="AK15" i="8"/>
  <c r="AK24" i="8" s="1"/>
  <c r="AK32" i="8" s="1"/>
  <c r="AK37" i="8" s="1"/>
  <c r="AK41" i="8" s="1"/>
  <c r="AK45" i="8" s="1"/>
  <c r="AK49" i="8" s="1"/>
  <c r="AI15" i="8"/>
  <c r="AI24" i="8" s="1"/>
  <c r="AI32" i="8" s="1"/>
  <c r="AI37" i="8" s="1"/>
  <c r="AI41" i="8" s="1"/>
  <c r="AI45" i="8" s="1"/>
  <c r="AI49" i="8" s="1"/>
  <c r="AG15" i="8"/>
  <c r="AG24" i="8" s="1"/>
  <c r="AG32" i="8" s="1"/>
  <c r="AG37" i="8" s="1"/>
  <c r="AG41" i="8" s="1"/>
  <c r="AG45" i="8" s="1"/>
  <c r="AG49" i="8" s="1"/>
  <c r="AE15" i="8"/>
  <c r="AE24" i="8" s="1"/>
  <c r="AE32" i="8" s="1"/>
  <c r="AE37" i="8" s="1"/>
  <c r="AE41" i="8" s="1"/>
  <c r="AE45" i="8" s="1"/>
  <c r="AE49" i="8" s="1"/>
  <c r="AD15" i="8"/>
  <c r="AD24" i="8" s="1"/>
  <c r="AD32" i="8" s="1"/>
  <c r="AD37" i="8" s="1"/>
  <c r="AD41" i="8" s="1"/>
  <c r="AD45" i="8" s="1"/>
  <c r="AD49" i="8" s="1"/>
  <c r="AB15" i="8"/>
  <c r="AB24" i="8" s="1"/>
  <c r="AB32" i="8" s="1"/>
  <c r="AB37" i="8" s="1"/>
  <c r="AB41" i="8" s="1"/>
  <c r="AB45" i="8" s="1"/>
  <c r="AB49" i="8" s="1"/>
  <c r="Z15" i="8"/>
  <c r="Z24" i="8" s="1"/>
  <c r="Z32" i="8" s="1"/>
  <c r="Z37" i="8" s="1"/>
  <c r="Z41" i="8" s="1"/>
  <c r="Z45" i="8" s="1"/>
  <c r="Z49" i="8" s="1"/>
  <c r="X15" i="8"/>
  <c r="X24" i="8" s="1"/>
  <c r="X32" i="8" s="1"/>
  <c r="X37" i="8" s="1"/>
  <c r="X41" i="8" s="1"/>
  <c r="X45" i="8" s="1"/>
  <c r="X49" i="8" s="1"/>
  <c r="W15" i="8"/>
  <c r="W24" i="8" s="1"/>
  <c r="W32" i="8" s="1"/>
  <c r="W37" i="8" s="1"/>
  <c r="W41" i="8" s="1"/>
  <c r="W45" i="8" s="1"/>
  <c r="W49" i="8" s="1"/>
  <c r="U15" i="8"/>
  <c r="U24" i="8" s="1"/>
  <c r="U32" i="8" s="1"/>
  <c r="U37" i="8" s="1"/>
  <c r="U41" i="8" s="1"/>
  <c r="U45" i="8" s="1"/>
  <c r="U49" i="8" s="1"/>
  <c r="S15" i="8"/>
  <c r="S24" i="8" s="1"/>
  <c r="S32" i="8" s="1"/>
  <c r="S37" i="8" s="1"/>
  <c r="S41" i="8" s="1"/>
  <c r="S45" i="8" s="1"/>
  <c r="S49" i="8" s="1"/>
  <c r="Q15" i="8"/>
  <c r="Q24" i="8" s="1"/>
  <c r="Q32" i="8" s="1"/>
  <c r="Q37" i="8" s="1"/>
  <c r="Q41" i="8" s="1"/>
  <c r="Q45" i="8" s="1"/>
  <c r="Q49" i="8" s="1"/>
  <c r="P15" i="8"/>
  <c r="P24" i="8" s="1"/>
  <c r="P32" i="8" s="1"/>
  <c r="P37" i="8" s="1"/>
  <c r="P41" i="8" s="1"/>
  <c r="P45" i="8" s="1"/>
  <c r="P49" i="8" s="1"/>
  <c r="N15" i="8"/>
  <c r="N24" i="8" s="1"/>
  <c r="N32" i="8" s="1"/>
  <c r="N37" i="8" s="1"/>
  <c r="N41" i="8" s="1"/>
  <c r="N45" i="8" s="1"/>
  <c r="N49" i="8" s="1"/>
  <c r="L15" i="8"/>
  <c r="L24" i="8" s="1"/>
  <c r="L32" i="8" s="1"/>
  <c r="L37" i="8" s="1"/>
  <c r="L41" i="8" s="1"/>
  <c r="L45" i="8" s="1"/>
  <c r="L49" i="8" s="1"/>
  <c r="J15" i="8"/>
  <c r="J24" i="8" s="1"/>
  <c r="J32" i="8" s="1"/>
  <c r="J37" i="8" s="1"/>
  <c r="J41" i="8" s="1"/>
  <c r="J45" i="8" s="1"/>
  <c r="J49" i="8" s="1"/>
  <c r="I15" i="8"/>
  <c r="I24" i="8" s="1"/>
  <c r="I32" i="8" s="1"/>
  <c r="I37" i="8" s="1"/>
  <c r="I41" i="8" s="1"/>
  <c r="I45" i="8" s="1"/>
  <c r="I49" i="8" s="1"/>
  <c r="G15" i="8"/>
  <c r="G24" i="8" s="1"/>
  <c r="G32" i="8" s="1"/>
  <c r="G37" i="8" s="1"/>
  <c r="G41" i="8" s="1"/>
  <c r="G45" i="8" s="1"/>
  <c r="G49" i="8" s="1"/>
  <c r="E15" i="8"/>
  <c r="E24" i="8" s="1"/>
  <c r="E32" i="8" s="1"/>
  <c r="E37" i="8" s="1"/>
  <c r="E41" i="8" s="1"/>
  <c r="E45" i="8" s="1"/>
  <c r="E49" i="8" s="1"/>
  <c r="C15" i="8"/>
  <c r="C24" i="8" s="1"/>
  <c r="C32" i="8" s="1"/>
  <c r="C37" i="8" s="1"/>
  <c r="C41" i="8" s="1"/>
  <c r="C45" i="8" s="1"/>
  <c r="C49" i="8" s="1"/>
  <c r="AJ13" i="8"/>
  <c r="AH13" i="8"/>
  <c r="AF13" i="8"/>
  <c r="AC13" i="8"/>
  <c r="AA13" i="8"/>
  <c r="Y13" i="8"/>
  <c r="V13" i="8"/>
  <c r="T13" i="8"/>
  <c r="R13" i="8"/>
  <c r="O13" i="8"/>
  <c r="M13" i="8"/>
  <c r="K13" i="8"/>
  <c r="H13" i="8"/>
  <c r="F13" i="8"/>
  <c r="D13" i="8"/>
  <c r="AJ12" i="8"/>
  <c r="AH12" i="8"/>
  <c r="AF12" i="8"/>
  <c r="AC12" i="8"/>
  <c r="AA12" i="8"/>
  <c r="Y12" i="8"/>
  <c r="V12" i="8"/>
  <c r="T12" i="8"/>
  <c r="R12" i="8"/>
  <c r="O12" i="8"/>
  <c r="M12" i="8"/>
  <c r="K12" i="8"/>
  <c r="H12" i="8"/>
  <c r="F12" i="8"/>
  <c r="D12" i="8"/>
  <c r="F90" i="6"/>
  <c r="G92" i="6"/>
  <c r="F92" i="6"/>
  <c r="H62" i="6"/>
  <c r="G53" i="6"/>
  <c r="G62" i="6" s="1"/>
  <c r="F53" i="6"/>
  <c r="F62" i="6" s="1"/>
  <c r="G29" i="6"/>
  <c r="F29" i="6"/>
  <c r="E29" i="6"/>
  <c r="D29" i="6"/>
  <c r="C29" i="6"/>
  <c r="F35" i="13"/>
  <c r="E35" i="13"/>
  <c r="D35" i="13"/>
  <c r="C35" i="13"/>
  <c r="F33" i="13"/>
  <c r="D33" i="13"/>
  <c r="C33" i="13"/>
  <c r="G28" i="13"/>
  <c r="G33" i="13" s="1"/>
  <c r="G35" i="13" s="1"/>
  <c r="F28" i="13"/>
  <c r="E28" i="13"/>
  <c r="D28" i="13"/>
  <c r="C28" i="13"/>
  <c r="G21" i="13"/>
  <c r="F21" i="13"/>
  <c r="E21" i="13"/>
  <c r="D21" i="13"/>
  <c r="C21" i="13"/>
  <c r="E39" i="15"/>
  <c r="E41" i="15" s="1"/>
  <c r="D39" i="15"/>
  <c r="D41" i="15" s="1"/>
  <c r="C39" i="15"/>
  <c r="C41" i="15" s="1"/>
  <c r="G37" i="15"/>
  <c r="F37" i="15"/>
  <c r="G27" i="15"/>
  <c r="F27" i="15"/>
  <c r="G18" i="15"/>
  <c r="F18" i="15"/>
  <c r="F41" i="15" s="1"/>
  <c r="E25" i="3"/>
  <c r="D25" i="3"/>
  <c r="C25" i="3"/>
  <c r="G18" i="3"/>
  <c r="G27" i="3" s="1"/>
  <c r="G43" i="3" s="1"/>
  <c r="G51" i="3" s="1"/>
  <c r="G55" i="3" s="1"/>
  <c r="G59" i="3" s="1"/>
  <c r="G63" i="3" s="1"/>
  <c r="F18" i="3"/>
  <c r="F27" i="3" s="1"/>
  <c r="F43" i="3" s="1"/>
  <c r="F51" i="3" s="1"/>
  <c r="F55" i="3" s="1"/>
  <c r="F59" i="3" s="1"/>
  <c r="F63" i="3" s="1"/>
  <c r="E18" i="3"/>
  <c r="E27" i="3" s="1"/>
  <c r="E43" i="3" s="1"/>
  <c r="E51" i="3" s="1"/>
  <c r="E55" i="3" s="1"/>
  <c r="E59" i="3" s="1"/>
  <c r="E63" i="3" s="1"/>
  <c r="D18" i="3"/>
  <c r="D27" i="3" s="1"/>
  <c r="D43" i="3" s="1"/>
  <c r="D51" i="3" s="1"/>
  <c r="D55" i="3" s="1"/>
  <c r="D59" i="3" s="1"/>
  <c r="D63" i="3" s="1"/>
  <c r="C18" i="3"/>
  <c r="C27" i="3" s="1"/>
  <c r="C43" i="3" s="1"/>
  <c r="C51" i="3" s="1"/>
  <c r="C55" i="3" s="1"/>
  <c r="C59" i="3" s="1"/>
  <c r="C63" i="3" s="1"/>
  <c r="AE37" i="30"/>
  <c r="AD37" i="30"/>
  <c r="AB37" i="30"/>
  <c r="Z37" i="30"/>
  <c r="X37" i="30"/>
  <c r="W37" i="30"/>
  <c r="U37" i="30"/>
  <c r="S37" i="30"/>
  <c r="Q37" i="30"/>
  <c r="P37" i="30"/>
  <c r="N37" i="30"/>
  <c r="L37" i="30"/>
  <c r="J37" i="30"/>
  <c r="I37" i="30"/>
  <c r="G37" i="30"/>
  <c r="F37" i="30"/>
  <c r="E37" i="30"/>
  <c r="C37" i="30"/>
  <c r="AC35" i="30"/>
  <c r="AA35" i="30"/>
  <c r="Y35" i="30"/>
  <c r="V35" i="30"/>
  <c r="T35" i="30"/>
  <c r="R35" i="30"/>
  <c r="O35" i="30"/>
  <c r="M35" i="30"/>
  <c r="K35" i="30"/>
  <c r="H35" i="30"/>
  <c r="F35" i="30"/>
  <c r="D35" i="30"/>
  <c r="AC34" i="30"/>
  <c r="AA34" i="30"/>
  <c r="Y34" i="30"/>
  <c r="V34" i="30"/>
  <c r="T34" i="30"/>
  <c r="R34" i="30"/>
  <c r="O34" i="30"/>
  <c r="M34" i="30"/>
  <c r="K34" i="30"/>
  <c r="H34" i="30"/>
  <c r="F34" i="30"/>
  <c r="D34" i="30"/>
  <c r="AC33" i="30"/>
  <c r="AA33" i="30"/>
  <c r="Y33" i="30"/>
  <c r="V33" i="30"/>
  <c r="T33" i="30"/>
  <c r="R33" i="30"/>
  <c r="O33" i="30"/>
  <c r="M33" i="30"/>
  <c r="K33" i="30"/>
  <c r="H33" i="30"/>
  <c r="F33" i="30"/>
  <c r="D33" i="30"/>
  <c r="AC32" i="30"/>
  <c r="AC37" i="30" s="1"/>
  <c r="AA32" i="30"/>
  <c r="AA37" i="30" s="1"/>
  <c r="Y32" i="30"/>
  <c r="Y37" i="30" s="1"/>
  <c r="V32" i="30"/>
  <c r="V37" i="30" s="1"/>
  <c r="T32" i="30"/>
  <c r="T37" i="30" s="1"/>
  <c r="R32" i="30"/>
  <c r="R37" i="30" s="1"/>
  <c r="O32" i="30"/>
  <c r="O37" i="30" s="1"/>
  <c r="M32" i="30"/>
  <c r="M37" i="30" s="1"/>
  <c r="K32" i="30"/>
  <c r="K37" i="30" s="1"/>
  <c r="H32" i="30"/>
  <c r="H37" i="30" s="1"/>
  <c r="F32" i="30"/>
  <c r="D32" i="30"/>
  <c r="D37" i="30" s="1"/>
  <c r="AE23" i="30"/>
  <c r="C23" i="30"/>
  <c r="AC21" i="30"/>
  <c r="AA21" i="30"/>
  <c r="Y21" i="30"/>
  <c r="V21" i="30"/>
  <c r="T21" i="30"/>
  <c r="R21" i="30"/>
  <c r="O21" i="30"/>
  <c r="M21" i="30"/>
  <c r="K21" i="30"/>
  <c r="H21" i="30"/>
  <c r="F21" i="30"/>
  <c r="D21" i="30"/>
  <c r="AC20" i="30"/>
  <c r="AA20" i="30"/>
  <c r="Y20" i="30"/>
  <c r="V20" i="30"/>
  <c r="T20" i="30"/>
  <c r="R20" i="30"/>
  <c r="O20" i="30"/>
  <c r="M20" i="30"/>
  <c r="K20" i="30"/>
  <c r="H20" i="30"/>
  <c r="F20" i="30"/>
  <c r="D20" i="30"/>
  <c r="AE18" i="30"/>
  <c r="AD18" i="30"/>
  <c r="AD23" i="30" s="1"/>
  <c r="AB18" i="30"/>
  <c r="AB23" i="30" s="1"/>
  <c r="Z18" i="30"/>
  <c r="Z23" i="30" s="1"/>
  <c r="X18" i="30"/>
  <c r="X23" i="30" s="1"/>
  <c r="W18" i="30"/>
  <c r="W23" i="30" s="1"/>
  <c r="U18" i="30"/>
  <c r="U23" i="30" s="1"/>
  <c r="S18" i="30"/>
  <c r="S23" i="30" s="1"/>
  <c r="Q18" i="30"/>
  <c r="Q23" i="30" s="1"/>
  <c r="P18" i="30"/>
  <c r="P23" i="30" s="1"/>
  <c r="N18" i="30"/>
  <c r="N23" i="30" s="1"/>
  <c r="L18" i="30"/>
  <c r="L23" i="30" s="1"/>
  <c r="J18" i="30"/>
  <c r="J23" i="30" s="1"/>
  <c r="I18" i="30"/>
  <c r="I23" i="30" s="1"/>
  <c r="G18" i="30"/>
  <c r="G23" i="30" s="1"/>
  <c r="E18" i="30"/>
  <c r="E23" i="30" s="1"/>
  <c r="C18" i="30"/>
  <c r="AC16" i="30"/>
  <c r="AA16" i="30"/>
  <c r="Y16" i="30"/>
  <c r="V16" i="30"/>
  <c r="T16" i="30"/>
  <c r="R16" i="30"/>
  <c r="O16" i="30"/>
  <c r="M16" i="30"/>
  <c r="K16" i="30"/>
  <c r="H16" i="30"/>
  <c r="F16" i="30"/>
  <c r="D16" i="30"/>
  <c r="AC15" i="30"/>
  <c r="AA15" i="30"/>
  <c r="Y15" i="30"/>
  <c r="V15" i="30"/>
  <c r="T15" i="30"/>
  <c r="R15" i="30"/>
  <c r="O15" i="30"/>
  <c r="M15" i="30"/>
  <c r="K15" i="30"/>
  <c r="H15" i="30"/>
  <c r="F15" i="30"/>
  <c r="D15" i="30"/>
  <c r="AC14" i="30"/>
  <c r="AA14" i="30"/>
  <c r="Y14" i="30"/>
  <c r="V14" i="30"/>
  <c r="T14" i="30"/>
  <c r="R14" i="30"/>
  <c r="O14" i="30"/>
  <c r="M14" i="30"/>
  <c r="K14" i="30"/>
  <c r="H14" i="30"/>
  <c r="F14" i="30"/>
  <c r="D14" i="30"/>
  <c r="AC13" i="30"/>
  <c r="AA13" i="30"/>
  <c r="Y13" i="30"/>
  <c r="V13" i="30"/>
  <c r="T13" i="30"/>
  <c r="R13" i="30"/>
  <c r="O13" i="30"/>
  <c r="M13" i="30"/>
  <c r="K13" i="30"/>
  <c r="H13" i="30"/>
  <c r="F13" i="30"/>
  <c r="D13" i="30"/>
  <c r="AC12" i="30"/>
  <c r="AC18" i="30" s="1"/>
  <c r="AC23" i="30" s="1"/>
  <c r="AA12" i="30"/>
  <c r="AA18" i="30" s="1"/>
  <c r="Y12" i="30"/>
  <c r="Y18" i="30" s="1"/>
  <c r="Y23" i="30" s="1"/>
  <c r="V12" i="30"/>
  <c r="V18" i="30" s="1"/>
  <c r="T12" i="30"/>
  <c r="T18" i="30" s="1"/>
  <c r="T23" i="30" s="1"/>
  <c r="R12" i="30"/>
  <c r="R18" i="30" s="1"/>
  <c r="O12" i="30"/>
  <c r="O18" i="30" s="1"/>
  <c r="O23" i="30" s="1"/>
  <c r="M12" i="30"/>
  <c r="M18" i="30" s="1"/>
  <c r="K12" i="30"/>
  <c r="K18" i="30" s="1"/>
  <c r="K23" i="30" s="1"/>
  <c r="H12" i="30"/>
  <c r="H18" i="30" s="1"/>
  <c r="F12" i="30"/>
  <c r="F18" i="30" s="1"/>
  <c r="F23" i="30" s="1"/>
  <c r="D12" i="30"/>
  <c r="D18" i="30" s="1"/>
  <c r="D23" i="30" s="1"/>
  <c r="AF16" i="29"/>
  <c r="Y16" i="29"/>
  <c r="R16" i="29"/>
  <c r="K16" i="29"/>
  <c r="D16" i="29"/>
  <c r="S41" i="14"/>
  <c r="I17" i="31" l="1"/>
  <c r="G49" i="31"/>
  <c r="J63" i="18"/>
  <c r="L32" i="18"/>
  <c r="L63" i="18" s="1"/>
  <c r="D71" i="18"/>
  <c r="D80" i="18" s="1"/>
  <c r="C14" i="31"/>
  <c r="G42" i="31" s="1"/>
  <c r="I53" i="17"/>
  <c r="C13" i="31" s="1"/>
  <c r="I65" i="17"/>
  <c r="B67" i="17"/>
  <c r="D17" i="31"/>
  <c r="D27" i="31"/>
  <c r="F36" i="33"/>
  <c r="G36" i="33"/>
  <c r="H36" i="33"/>
  <c r="D21" i="12"/>
  <c r="D29" i="12" s="1"/>
  <c r="D40" i="12" s="1"/>
  <c r="D44" i="12" s="1"/>
  <c r="D48" i="12" s="1"/>
  <c r="H29" i="12"/>
  <c r="H40" i="12" s="1"/>
  <c r="H44" i="12" s="1"/>
  <c r="H48" i="12" s="1"/>
  <c r="G29" i="12"/>
  <c r="G40" i="12" s="1"/>
  <c r="G44" i="12" s="1"/>
  <c r="G48" i="12" s="1"/>
  <c r="V23" i="30"/>
  <c r="H23" i="30"/>
  <c r="R23" i="30"/>
  <c r="AA23" i="30"/>
  <c r="C27" i="31"/>
  <c r="E80" i="18"/>
  <c r="H76" i="18"/>
  <c r="J27" i="31"/>
  <c r="F80" i="18"/>
  <c r="I27" i="31"/>
  <c r="I71" i="18"/>
  <c r="I80" i="18" s="1"/>
  <c r="G38" i="34"/>
  <c r="G41" i="34" s="1"/>
  <c r="G48" i="34" s="1"/>
  <c r="J24" i="34"/>
  <c r="I29" i="34"/>
  <c r="F38" i="34"/>
  <c r="F41" i="34" s="1"/>
  <c r="F48" i="34" s="1"/>
  <c r="J19" i="34"/>
  <c r="H38" i="34"/>
  <c r="H41" i="34" s="1"/>
  <c r="H48" i="34" s="1"/>
  <c r="J35" i="34"/>
  <c r="I38" i="34"/>
  <c r="I41" i="34" s="1"/>
  <c r="I48" i="34" s="1"/>
  <c r="J45" i="34"/>
  <c r="G41" i="15"/>
  <c r="F21" i="12"/>
  <c r="K103" i="8"/>
  <c r="T103" i="8"/>
  <c r="H159" i="8"/>
  <c r="R159" i="8"/>
  <c r="AA159" i="8"/>
  <c r="AJ159" i="8"/>
  <c r="AC103" i="8"/>
  <c r="F15" i="8"/>
  <c r="F24" i="8" s="1"/>
  <c r="F32" i="8" s="1"/>
  <c r="F37" i="8" s="1"/>
  <c r="F41" i="8" s="1"/>
  <c r="F45" i="8" s="1"/>
  <c r="F49" i="8" s="1"/>
  <c r="O15" i="8"/>
  <c r="O24" i="8" s="1"/>
  <c r="O32" i="8" s="1"/>
  <c r="O37" i="8" s="1"/>
  <c r="O41" i="8" s="1"/>
  <c r="O45" i="8" s="1"/>
  <c r="O49" i="8" s="1"/>
  <c r="AH15" i="8"/>
  <c r="AH24" i="8" s="1"/>
  <c r="AH32" i="8" s="1"/>
  <c r="AH37" i="8" s="1"/>
  <c r="AH41" i="8" s="1"/>
  <c r="AH45" i="8" s="1"/>
  <c r="AH49" i="8" s="1"/>
  <c r="D103" i="8"/>
  <c r="M103" i="8"/>
  <c r="V103" i="8"/>
  <c r="AF103" i="8"/>
  <c r="K159" i="8"/>
  <c r="T159" i="8"/>
  <c r="AC159" i="8"/>
  <c r="R168" i="8"/>
  <c r="M176" i="8"/>
  <c r="M23" i="30"/>
  <c r="F96" i="8"/>
  <c r="O96" i="8"/>
  <c r="Y96" i="8"/>
  <c r="AH96" i="8"/>
  <c r="F103" i="8"/>
  <c r="O103" i="8"/>
  <c r="Y103" i="8"/>
  <c r="AH103" i="8"/>
  <c r="H141" i="8"/>
  <c r="R141" i="8"/>
  <c r="AA141" i="8"/>
  <c r="AJ141" i="8"/>
  <c r="K151" i="8"/>
  <c r="T151" i="8"/>
  <c r="AC151" i="8"/>
  <c r="D159" i="8"/>
  <c r="M159" i="8"/>
  <c r="V159" i="8"/>
  <c r="AF159" i="8"/>
  <c r="F168" i="8"/>
  <c r="M168" i="8"/>
  <c r="AH168" i="8"/>
  <c r="F176" i="8"/>
  <c r="O176" i="8"/>
  <c r="AC15" i="8"/>
  <c r="AC24" i="8" s="1"/>
  <c r="AC32" i="8" s="1"/>
  <c r="AC37" i="8" s="1"/>
  <c r="AC41" i="8" s="1"/>
  <c r="AC45" i="8" s="1"/>
  <c r="AC49" i="8" s="1"/>
  <c r="D96" i="8"/>
  <c r="M96" i="8"/>
  <c r="V96" i="8"/>
  <c r="AF96" i="8"/>
  <c r="F141" i="8"/>
  <c r="O141" i="8"/>
  <c r="Y141" i="8"/>
  <c r="AH141" i="8"/>
  <c r="H151" i="8"/>
  <c r="R151" i="8"/>
  <c r="AA151" i="8"/>
  <c r="AJ151" i="8"/>
  <c r="D15" i="8"/>
  <c r="D24" i="8" s="1"/>
  <c r="D32" i="8" s="1"/>
  <c r="D37" i="8" s="1"/>
  <c r="D41" i="8" s="1"/>
  <c r="D45" i="8" s="1"/>
  <c r="D49" i="8" s="1"/>
  <c r="M15" i="8"/>
  <c r="M24" i="8" s="1"/>
  <c r="M32" i="8" s="1"/>
  <c r="M37" i="8" s="1"/>
  <c r="M41" i="8" s="1"/>
  <c r="M45" i="8" s="1"/>
  <c r="M49" i="8" s="1"/>
  <c r="V15" i="8"/>
  <c r="V24" i="8" s="1"/>
  <c r="V32" i="8" s="1"/>
  <c r="V37" i="8" s="1"/>
  <c r="V41" i="8" s="1"/>
  <c r="V45" i="8" s="1"/>
  <c r="V49" i="8" s="1"/>
  <c r="AF15" i="8"/>
  <c r="AF24" i="8" s="1"/>
  <c r="AF32" i="8" s="1"/>
  <c r="AF37" i="8" s="1"/>
  <c r="AF41" i="8" s="1"/>
  <c r="AF45" i="8" s="1"/>
  <c r="AF49" i="8" s="1"/>
  <c r="H96" i="8"/>
  <c r="R96" i="8"/>
  <c r="AA96" i="8"/>
  <c r="AJ96" i="8"/>
  <c r="H103" i="8"/>
  <c r="R103" i="8"/>
  <c r="AA103" i="8"/>
  <c r="AJ103" i="8"/>
  <c r="K141" i="8"/>
  <c r="T141" i="8"/>
  <c r="AC141" i="8"/>
  <c r="D151" i="8"/>
  <c r="M151" i="8"/>
  <c r="V151" i="8"/>
  <c r="AF151" i="8"/>
  <c r="F159" i="8"/>
  <c r="O159" i="8"/>
  <c r="Y159" i="8"/>
  <c r="AH159" i="8"/>
  <c r="AJ168" i="8"/>
  <c r="H176" i="8"/>
  <c r="K96" i="8"/>
  <c r="T96" i="8"/>
  <c r="AC96" i="8"/>
  <c r="D141" i="8"/>
  <c r="M141" i="8"/>
  <c r="V141" i="8"/>
  <c r="AF141" i="8"/>
  <c r="F151" i="8"/>
  <c r="O151" i="8"/>
  <c r="Y151" i="8"/>
  <c r="AH151" i="8"/>
  <c r="D168" i="8"/>
  <c r="C21" i="12"/>
  <c r="C29" i="12" s="1"/>
  <c r="C40" i="12" s="1"/>
  <c r="C44" i="12" s="1"/>
  <c r="C48" i="12" s="1"/>
  <c r="H15" i="8"/>
  <c r="H24" i="8" s="1"/>
  <c r="H32" i="8" s="1"/>
  <c r="H37" i="8" s="1"/>
  <c r="H41" i="8" s="1"/>
  <c r="H45" i="8" s="1"/>
  <c r="H49" i="8" s="1"/>
  <c r="R15" i="8"/>
  <c r="R24" i="8" s="1"/>
  <c r="R32" i="8" s="1"/>
  <c r="R37" i="8" s="1"/>
  <c r="R41" i="8" s="1"/>
  <c r="R45" i="8" s="1"/>
  <c r="R49" i="8" s="1"/>
  <c r="AA15" i="8"/>
  <c r="AA24" i="8" s="1"/>
  <c r="AA32" i="8" s="1"/>
  <c r="AA37" i="8" s="1"/>
  <c r="AA41" i="8" s="1"/>
  <c r="AA45" i="8" s="1"/>
  <c r="AA49" i="8" s="1"/>
  <c r="AJ15" i="8"/>
  <c r="AJ24" i="8" s="1"/>
  <c r="AJ32" i="8" s="1"/>
  <c r="AJ37" i="8" s="1"/>
  <c r="AJ41" i="8" s="1"/>
  <c r="AJ45" i="8" s="1"/>
  <c r="AJ49" i="8" s="1"/>
  <c r="H168" i="8"/>
  <c r="T168" i="8"/>
  <c r="Y168" i="8"/>
  <c r="AF168" i="8"/>
  <c r="K176" i="8"/>
  <c r="D176" i="8"/>
  <c r="K15" i="8"/>
  <c r="K24" i="8" s="1"/>
  <c r="K32" i="8" s="1"/>
  <c r="K37" i="8" s="1"/>
  <c r="K41" i="8" s="1"/>
  <c r="K45" i="8" s="1"/>
  <c r="K49" i="8" s="1"/>
  <c r="T15" i="8"/>
  <c r="T24" i="8" s="1"/>
  <c r="T32" i="8" s="1"/>
  <c r="T37" i="8" s="1"/>
  <c r="T41" i="8" s="1"/>
  <c r="T45" i="8" s="1"/>
  <c r="T49" i="8" s="1"/>
  <c r="V168" i="8"/>
  <c r="Y15" i="8"/>
  <c r="Y24" i="8" s="1"/>
  <c r="Y32" i="8" s="1"/>
  <c r="Y37" i="8" s="1"/>
  <c r="Y41" i="8" s="1"/>
  <c r="Y45" i="8" s="1"/>
  <c r="Y49" i="8" s="1"/>
  <c r="K168" i="8"/>
  <c r="AC168" i="8"/>
  <c r="O168" i="8"/>
  <c r="AA168" i="8"/>
  <c r="C29" i="34"/>
  <c r="E38" i="34"/>
  <c r="E41" i="34" s="1"/>
  <c r="E48" i="34" s="1"/>
  <c r="U41" i="14"/>
  <c r="V41" i="14"/>
  <c r="R41" i="14"/>
  <c r="AA41" i="14"/>
  <c r="W41" i="14"/>
  <c r="Q41" i="14"/>
  <c r="T41" i="14"/>
  <c r="N41" i="14"/>
  <c r="Z41" i="14"/>
  <c r="P41" i="14"/>
  <c r="O41" i="14"/>
  <c r="X41" i="14"/>
  <c r="AC41" i="14"/>
  <c r="Y41" i="14"/>
  <c r="AD41" i="14"/>
  <c r="AB41" i="14"/>
  <c r="G58" i="31" l="1"/>
  <c r="C17" i="31"/>
  <c r="G41" i="31"/>
  <c r="G45" i="31" s="1"/>
  <c r="G52" i="31" s="1"/>
  <c r="H71" i="18"/>
  <c r="H80" i="18" s="1"/>
  <c r="I67" i="17"/>
  <c r="F29" i="12"/>
  <c r="F40" i="12" s="1"/>
  <c r="F44" i="12" s="1"/>
  <c r="F48" i="12" s="1"/>
  <c r="J29" i="34"/>
  <c r="C38" i="34"/>
  <c r="J38" i="34" l="1"/>
  <c r="C41" i="34"/>
  <c r="C48" i="34" l="1"/>
  <c r="J48" i="34" s="1"/>
  <c r="J41" i="34"/>
</calcChain>
</file>

<file path=xl/sharedStrings.xml><?xml version="1.0" encoding="utf-8"?>
<sst xmlns="http://schemas.openxmlformats.org/spreadsheetml/2006/main" count="4032" uniqueCount="1048">
  <si>
    <t>Net financial debt at beginning of period</t>
  </si>
  <si>
    <t>EBITDA</t>
  </si>
  <si>
    <t>Cancellation of non monetary items included in EBITDA</t>
  </si>
  <si>
    <t>Net financial expenses paid</t>
  </si>
  <si>
    <t>Net income taxes paid</t>
  </si>
  <si>
    <t>Dividends received</t>
  </si>
  <si>
    <t>Change in other operating assets and liabilities</t>
  </si>
  <si>
    <t>Cash flow from operating activities</t>
  </si>
  <si>
    <t>Change in operating working capital</t>
  </si>
  <si>
    <t>Change in non operating working capital</t>
  </si>
  <si>
    <t>Net investments</t>
  </si>
  <si>
    <t>Non-recurring operations</t>
  </si>
  <si>
    <t>Cash flow after net investments and change in working capital</t>
  </si>
  <si>
    <t>Dividends paid</t>
  </si>
  <si>
    <t>Other items</t>
  </si>
  <si>
    <t>Net cash flow for the period</t>
  </si>
  <si>
    <t>Net financial debt at end of the period</t>
  </si>
  <si>
    <t>(€ Mn)</t>
  </si>
  <si>
    <t>Sales revenues Electric Power operations</t>
  </si>
  <si>
    <t>Sales revenues Hydrocarbons operations</t>
  </si>
  <si>
    <t>Corporate activities</t>
  </si>
  <si>
    <t>Other revenues and income</t>
  </si>
  <si>
    <t>Total net revenues</t>
  </si>
  <si>
    <t>Raw materials and services used</t>
  </si>
  <si>
    <t>Labor cost</t>
  </si>
  <si>
    <t>EBITDA Corporate activities</t>
  </si>
  <si>
    <t>Total EBITDA</t>
  </si>
  <si>
    <t>Net change in fair value of commodity derivatives</t>
  </si>
  <si>
    <t xml:space="preserve">Depreciation and  Amortization </t>
  </si>
  <si>
    <t xml:space="preserve">   o/w exploration costs</t>
  </si>
  <si>
    <t xml:space="preserve">Total EBIT </t>
  </si>
  <si>
    <t>Profit before taxes</t>
  </si>
  <si>
    <t>Income taxes</t>
  </si>
  <si>
    <t xml:space="preserve">Profit / Loss from continuing operations </t>
  </si>
  <si>
    <t>Profit (loss) from discontinued operation</t>
  </si>
  <si>
    <t xml:space="preserve">Profit / Loss </t>
  </si>
  <si>
    <t xml:space="preserve">of which: </t>
  </si>
  <si>
    <t>Minority interest in (profit) / loss</t>
  </si>
  <si>
    <t>Group interest in profit / loss</t>
  </si>
  <si>
    <t>(1) FY2016 figures include the full consolidation of Fenice from April 1, the swap of Edison participations in Hydros and Sel Edison with 100%  of Cellina Energy, fully consolidated from June 1, the acquisition of Idreg Piemonte assets on May 25, the sale of Termica Milazzo on Aug. 1 and the  sale of Fenice Russia in September</t>
  </si>
  <si>
    <t xml:space="preserve">Sales revenues </t>
  </si>
  <si>
    <t xml:space="preserve">Reported EBITDA </t>
  </si>
  <si>
    <t xml:space="preserve">Depreciation and Amortization </t>
  </si>
  <si>
    <t>Other income (expense), net</t>
  </si>
  <si>
    <t xml:space="preserve">Reported EBIT </t>
  </si>
  <si>
    <t>Total assets</t>
  </si>
  <si>
    <t>Employees</t>
  </si>
  <si>
    <t xml:space="preserve">Of which: </t>
  </si>
  <si>
    <t xml:space="preserve">        Exploration &amp; Production</t>
  </si>
  <si>
    <t xml:space="preserve">        Gas activities</t>
  </si>
  <si>
    <t xml:space="preserve">Thermoelectric </t>
  </si>
  <si>
    <t xml:space="preserve">Hydroelectric </t>
  </si>
  <si>
    <t xml:space="preserve">Total sources </t>
  </si>
  <si>
    <t>Total uses</t>
  </si>
  <si>
    <t>Import (Pipe +LNG)</t>
  </si>
  <si>
    <t xml:space="preserve">Other purchases </t>
  </si>
  <si>
    <t>Residential use</t>
  </si>
  <si>
    <t>Industrial use</t>
  </si>
  <si>
    <t>Thermoelectric fuel use</t>
  </si>
  <si>
    <t>Other sales</t>
  </si>
  <si>
    <t>Production in Italy</t>
  </si>
  <si>
    <t>Total Oil Production</t>
  </si>
  <si>
    <t>Other revenues</t>
  </si>
  <si>
    <t xml:space="preserve">Total Net Revenues </t>
  </si>
  <si>
    <t>Labour Costs</t>
  </si>
  <si>
    <t>Total EBIT</t>
  </si>
  <si>
    <t>Net Financial Income (Expense)</t>
  </si>
  <si>
    <t>Income from (expense on) equity investments</t>
  </si>
  <si>
    <t>Profit Before Taxes</t>
  </si>
  <si>
    <t>Income Taxes</t>
  </si>
  <si>
    <t>Net Result from Continuing Operations</t>
  </si>
  <si>
    <t>Profit (loss) from discontinued operations</t>
  </si>
  <si>
    <t xml:space="preserve">Net Result </t>
  </si>
  <si>
    <t xml:space="preserve">Minority' s Interest in net (Income) loss </t>
  </si>
  <si>
    <t>Group Interest in Net income</t>
  </si>
  <si>
    <t>Balance Sheet</t>
  </si>
  <si>
    <t>Stockholders' Equity</t>
  </si>
  <si>
    <t>Debt /Equity</t>
  </si>
  <si>
    <t>Employees (Number end of period)</t>
  </si>
  <si>
    <t xml:space="preserve">     o/w Group's Interest</t>
  </si>
  <si>
    <t xml:space="preserve">Net Invested Capital </t>
  </si>
  <si>
    <t>9M</t>
  </si>
  <si>
    <t>FY</t>
  </si>
  <si>
    <t xml:space="preserve">Sales Revenues </t>
  </si>
  <si>
    <t>Reported EBITDA</t>
  </si>
  <si>
    <t>Volumes</t>
  </si>
  <si>
    <t>Sources</t>
  </si>
  <si>
    <t>Thermoelectric</t>
  </si>
  <si>
    <t>Hydroelectric</t>
  </si>
  <si>
    <t>Wind and other renewables</t>
  </si>
  <si>
    <t>Total Sources</t>
  </si>
  <si>
    <t>Uses</t>
  </si>
  <si>
    <t>Total Uses</t>
  </si>
  <si>
    <t xml:space="preserve">Depreciation and Amortization  </t>
  </si>
  <si>
    <t>Import Pipe + GNL</t>
  </si>
  <si>
    <t>Other purchases</t>
  </si>
  <si>
    <t>Change in stored gas inventory</t>
  </si>
  <si>
    <t>Other Sales</t>
  </si>
  <si>
    <t>Gas production outside Italy</t>
  </si>
  <si>
    <t xml:space="preserve">Production Italy </t>
  </si>
  <si>
    <t xml:space="preserve">Total Production </t>
  </si>
  <si>
    <t>Economic and financial results</t>
  </si>
  <si>
    <t>Commodity and Logistics Costs</t>
  </si>
  <si>
    <t>Other costs and external services</t>
  </si>
  <si>
    <t>Labor Costs</t>
  </si>
  <si>
    <t>Other Revenues and Income</t>
  </si>
  <si>
    <t>Net invested capital</t>
  </si>
  <si>
    <t xml:space="preserve">(1) Since January 1, 2018 IFRS 15 “Revenue from contracts with customers” and IFRS9 (relating to financial instruments) entered into force. In order to improve comparability over time, Edison has decided to adopt IFRS15 retrospectively by restating 2017 financial statement. As a result of the adoption of this standard, sales revenues decreased with no impact on EBITDA. The impact of the first adoption of IFRS9 were recorded in equity without restatement of 2017 results. </t>
  </si>
  <si>
    <t>nr</t>
  </si>
  <si>
    <t>Plant name</t>
  </si>
  <si>
    <t>Location</t>
  </si>
  <si>
    <t>Start up</t>
  </si>
  <si>
    <t>Company</t>
  </si>
  <si>
    <t>Market</t>
  </si>
  <si>
    <t>Type</t>
  </si>
  <si>
    <t xml:space="preserve">Edison % </t>
  </si>
  <si>
    <t>Edison stake in net efficient power MW</t>
  </si>
  <si>
    <t>Consolidation method</t>
  </si>
  <si>
    <t>MW</t>
  </si>
  <si>
    <t>S. Giustina</t>
  </si>
  <si>
    <t>TN</t>
  </si>
  <si>
    <t>Dolomiti Edison Energy Srl</t>
  </si>
  <si>
    <t>free market</t>
  </si>
  <si>
    <t>Hydro</t>
  </si>
  <si>
    <t>Run of river</t>
  </si>
  <si>
    <t>line by line</t>
  </si>
  <si>
    <t>Taio</t>
  </si>
  <si>
    <t>Reservoir</t>
  </si>
  <si>
    <t>Mollaro</t>
  </si>
  <si>
    <t>Mezzocorona</t>
  </si>
  <si>
    <t>Basin</t>
  </si>
  <si>
    <t>Pozzolago - Lona Lases</t>
  </si>
  <si>
    <t>Run of river - mini hydro</t>
  </si>
  <si>
    <t>Sonico</t>
  </si>
  <si>
    <t>BS</t>
  </si>
  <si>
    <t>1928-2011</t>
  </si>
  <si>
    <t>Edison Spa</t>
  </si>
  <si>
    <t>Cedegolo</t>
  </si>
  <si>
    <t>Cividate</t>
  </si>
  <si>
    <t>1942-2010</t>
  </si>
  <si>
    <t>Ganda</t>
  </si>
  <si>
    <t>SO</t>
  </si>
  <si>
    <t>1955-2008</t>
  </si>
  <si>
    <t>Belviso</t>
  </si>
  <si>
    <t>1947-2008</t>
  </si>
  <si>
    <t>Publino</t>
  </si>
  <si>
    <t xml:space="preserve">Reservoir </t>
  </si>
  <si>
    <t>Zappello</t>
  </si>
  <si>
    <t>Vedello</t>
  </si>
  <si>
    <t>Armisa</t>
  </si>
  <si>
    <t>Venina</t>
  </si>
  <si>
    <t>Campo</t>
  </si>
  <si>
    <t>1936-2009</t>
  </si>
  <si>
    <t>Albano</t>
  </si>
  <si>
    <t>CO</t>
  </si>
  <si>
    <t>1962-2011</t>
  </si>
  <si>
    <t>Calusco - Semenza</t>
  </si>
  <si>
    <t>BG</t>
  </si>
  <si>
    <t>1920-2003</t>
  </si>
  <si>
    <t>Paderno - Bertini</t>
  </si>
  <si>
    <t>MI</t>
  </si>
  <si>
    <t>Robbiate - Esterle</t>
  </si>
  <si>
    <t>1914-2001</t>
  </si>
  <si>
    <t>Battiggio</t>
  </si>
  <si>
    <t>VB</t>
  </si>
  <si>
    <t>Pieve Vergonte</t>
  </si>
  <si>
    <t>Piozzo - Farigliano</t>
  </si>
  <si>
    <t>CN</t>
  </si>
  <si>
    <t>Rocchetta</t>
  </si>
  <si>
    <t>MS</t>
  </si>
  <si>
    <t>Teglia</t>
  </si>
  <si>
    <t>1935-1953</t>
  </si>
  <si>
    <t>Pentima</t>
  </si>
  <si>
    <t>TR</t>
  </si>
  <si>
    <t>Gaver</t>
  </si>
  <si>
    <t>Basin - mini hydro</t>
  </si>
  <si>
    <t>Fontanamora</t>
  </si>
  <si>
    <t>1959-2015</t>
  </si>
  <si>
    <t>Caffaro 1</t>
  </si>
  <si>
    <t>Caffaro 2</t>
  </si>
  <si>
    <t>1960-2011</t>
  </si>
  <si>
    <t>Valina</t>
  </si>
  <si>
    <t>PN</t>
  </si>
  <si>
    <t>Chievolis</t>
  </si>
  <si>
    <t>Meduno</t>
  </si>
  <si>
    <t>Colle</t>
  </si>
  <si>
    <t>1949-2005</t>
  </si>
  <si>
    <t>Istrago</t>
  </si>
  <si>
    <t>Maleo</t>
  </si>
  <si>
    <t>LO</t>
  </si>
  <si>
    <t>Cogno</t>
  </si>
  <si>
    <t>1905-2012</t>
  </si>
  <si>
    <t>Sistemi di Energia Spa</t>
  </si>
  <si>
    <t>La Rocca</t>
  </si>
  <si>
    <t>Piancone</t>
  </si>
  <si>
    <t>BI</t>
  </si>
  <si>
    <t>1964-2005</t>
  </si>
  <si>
    <t>Alto Preit</t>
  </si>
  <si>
    <t>CU</t>
  </si>
  <si>
    <t>Boschetto</t>
  </si>
  <si>
    <t>Verbano-Cusio-Ossola</t>
  </si>
  <si>
    <t>Cresti**</t>
  </si>
  <si>
    <t>Dora II</t>
  </si>
  <si>
    <t>TO</t>
  </si>
  <si>
    <t>1920-2008</t>
  </si>
  <si>
    <t>Gaggiolo</t>
  </si>
  <si>
    <t>Molino II</t>
  </si>
  <si>
    <t>UD</t>
  </si>
  <si>
    <t>1939-2004</t>
  </si>
  <si>
    <t>RID</t>
  </si>
  <si>
    <t>Montalto</t>
  </si>
  <si>
    <t>1920-2004</t>
  </si>
  <si>
    <t>Montescheno</t>
  </si>
  <si>
    <t>San Floreano</t>
  </si>
  <si>
    <t>1990-2004</t>
  </si>
  <si>
    <t>Barcis</t>
  </si>
  <si>
    <t>Cellina Energy</t>
  </si>
  <si>
    <t>Cordenons</t>
  </si>
  <si>
    <t>Ponte Giulio</t>
  </si>
  <si>
    <t>San Foca</t>
  </si>
  <si>
    <t>San Leonardo</t>
  </si>
  <si>
    <t>Villa Rinaldi</t>
  </si>
  <si>
    <t>Arta</t>
  </si>
  <si>
    <t>Campagnola</t>
  </si>
  <si>
    <t>1916-2017</t>
  </si>
  <si>
    <t>Campolessi</t>
  </si>
  <si>
    <t>1904-2017</t>
  </si>
  <si>
    <t>Cisterna</t>
  </si>
  <si>
    <t>Fogliano</t>
  </si>
  <si>
    <t>GO</t>
  </si>
  <si>
    <t>TO (IAFR)</t>
  </si>
  <si>
    <t>Luincis</t>
  </si>
  <si>
    <t>1952-2012</t>
  </si>
  <si>
    <t>Maseris</t>
  </si>
  <si>
    <t>Monfalcone Anconetta</t>
  </si>
  <si>
    <t>Monfalcone Porto</t>
  </si>
  <si>
    <t>1907-2011</t>
  </si>
  <si>
    <t>Mulinaris</t>
  </si>
  <si>
    <t>Pineda</t>
  </si>
  <si>
    <t>Redipuglia</t>
  </si>
  <si>
    <t>Rodeano</t>
  </si>
  <si>
    <t>Ronchi</t>
  </si>
  <si>
    <t>Savorgnana</t>
  </si>
  <si>
    <t>1943-2015</t>
  </si>
  <si>
    <t>Tramba</t>
  </si>
  <si>
    <t>Zoppola</t>
  </si>
  <si>
    <t>Pizzighettone</t>
  </si>
  <si>
    <t>CR</t>
  </si>
  <si>
    <t>Tavagnasco</t>
  </si>
  <si>
    <t>Montebuono</t>
  </si>
  <si>
    <t>TO (FER_E)</t>
  </si>
  <si>
    <t>Molino di Marano</t>
  </si>
  <si>
    <t>NO</t>
  </si>
  <si>
    <t>Frendy Energy Spa</t>
  </si>
  <si>
    <t>Ex Strada Statate 11</t>
  </si>
  <si>
    <t>Termini</t>
  </si>
  <si>
    <t>Maranzino</t>
  </si>
  <si>
    <t>Pignone</t>
  </si>
  <si>
    <t>PV</t>
  </si>
  <si>
    <t>1 Prolungamento</t>
  </si>
  <si>
    <t>Brelle</t>
  </si>
  <si>
    <t>Travacca di Villanova</t>
  </si>
  <si>
    <t>Codabassa</t>
  </si>
  <si>
    <t>Vecchia Strada Gambolò</t>
  </si>
  <si>
    <t>Brida dei Cavalletti</t>
  </si>
  <si>
    <t>Chiusa della Città</t>
  </si>
  <si>
    <t>Carrù</t>
  </si>
  <si>
    <t>Polverificio</t>
  </si>
  <si>
    <t>Idro Blu Spa</t>
  </si>
  <si>
    <t>Brusson</t>
  </si>
  <si>
    <t>AO</t>
  </si>
  <si>
    <t>Idroelettrica Brusson Srl</t>
  </si>
  <si>
    <t>Cervino</t>
  </si>
  <si>
    <t>Idroelettrica Cervino Srl</t>
  </si>
  <si>
    <t>Maen</t>
  </si>
  <si>
    <t>Total free market (MW)</t>
  </si>
  <si>
    <t>Switzerland</t>
  </si>
  <si>
    <t>Kraftwerke</t>
  </si>
  <si>
    <t>equity method</t>
  </si>
  <si>
    <t>Total Edison Hydroelectric Plants (MW)</t>
  </si>
  <si>
    <t>RID = ritiro dedicato</t>
  </si>
  <si>
    <t>IAFR = ex CV</t>
  </si>
  <si>
    <t>FER_E=incentivo da GSE</t>
  </si>
  <si>
    <t>Fuel</t>
  </si>
  <si>
    <t>Technology</t>
  </si>
  <si>
    <t>Edison %</t>
  </si>
  <si>
    <t>Mothballing</t>
  </si>
  <si>
    <t>Cologno Monzese</t>
  </si>
  <si>
    <t>Termica Cologno Srl</t>
  </si>
  <si>
    <t>gas</t>
  </si>
  <si>
    <t>CCGT</t>
  </si>
  <si>
    <t xml:space="preserve"> line by line</t>
  </si>
  <si>
    <t>in mothballing</t>
  </si>
  <si>
    <t>Jesi</t>
  </si>
  <si>
    <t>AN</t>
  </si>
  <si>
    <t>Jesi Energia Spa</t>
  </si>
  <si>
    <t>San Quirico</t>
  </si>
  <si>
    <t>PR</t>
  </si>
  <si>
    <t>Porto Viro</t>
  </si>
  <si>
    <t>RO</t>
  </si>
  <si>
    <t>Bussi sul Tirino</t>
  </si>
  <si>
    <t>PE</t>
  </si>
  <si>
    <t>1995 - 2011 (repowering TG)</t>
  </si>
  <si>
    <t>CCGT/LMS100</t>
  </si>
  <si>
    <t>Sesto San Giovanni 1</t>
  </si>
  <si>
    <t>1994 - 2015 ( repowering TV)</t>
  </si>
  <si>
    <t>Marghera Azotati</t>
  </si>
  <si>
    <t>VE</t>
  </si>
  <si>
    <t>1993 - 2010 ( repowering TG )</t>
  </si>
  <si>
    <t xml:space="preserve">Marghera Levante </t>
  </si>
  <si>
    <t>1992 - 2001 (repowering TG)</t>
  </si>
  <si>
    <t>Terni</t>
  </si>
  <si>
    <t>Sesto San Giovanni 2</t>
  </si>
  <si>
    <t>Candela</t>
  </si>
  <si>
    <t>FG</t>
  </si>
  <si>
    <t>Altomonte</t>
  </si>
  <si>
    <t>CS</t>
  </si>
  <si>
    <t>Torviscosa</t>
  </si>
  <si>
    <t>Simeri Crichi</t>
  </si>
  <si>
    <t>CZ</t>
  </si>
  <si>
    <t>Total thermoelectric plants Edison (MW)</t>
  </si>
  <si>
    <t>T-Power (Tessaloniki)</t>
  </si>
  <si>
    <t xml:space="preserve">Greece </t>
  </si>
  <si>
    <t>Elpedison</t>
  </si>
  <si>
    <t>Equity method</t>
  </si>
  <si>
    <t>Thisvi</t>
  </si>
  <si>
    <t>Greece</t>
  </si>
  <si>
    <t>Ibiritermo</t>
  </si>
  <si>
    <t>Brazil</t>
  </si>
  <si>
    <t>Total foreign deconsolidated capacity (MW)</t>
  </si>
  <si>
    <t>Region</t>
  </si>
  <si>
    <t>Wind Power Plants</t>
  </si>
  <si>
    <t>Andretta - Bisaccia</t>
  </si>
  <si>
    <t>Campania</t>
  </si>
  <si>
    <t>Wind</t>
  </si>
  <si>
    <t>E2I Energie Speciali Srl</t>
  </si>
  <si>
    <t>Baselice</t>
  </si>
  <si>
    <t>Casone Romano - Castelnuovo Daunia</t>
  </si>
  <si>
    <t>Puglia</t>
  </si>
  <si>
    <t>Castiglione Messer Marino</t>
  </si>
  <si>
    <t>Abruzzo</t>
  </si>
  <si>
    <t>Castiglione Messer Marino (IR1)</t>
  </si>
  <si>
    <t>Castiglione Messer Marino - Ampliamento</t>
  </si>
  <si>
    <t>Celle San Vito 1</t>
  </si>
  <si>
    <t>Celle San Vito 2</t>
  </si>
  <si>
    <t>Faeto San Vito Ciuccia</t>
  </si>
  <si>
    <t>Faeto ampliamento</t>
  </si>
  <si>
    <t>Foiano -Toppo Grosso - M.te Barbato</t>
  </si>
  <si>
    <t>Foiano - Piano del Casino</t>
  </si>
  <si>
    <t>Foiano Ampliamento</t>
  </si>
  <si>
    <t>Fraine</t>
  </si>
  <si>
    <t>Lucito</t>
  </si>
  <si>
    <t>Molise</t>
  </si>
  <si>
    <t>Mazara del Vallo</t>
  </si>
  <si>
    <t>Sicilia</t>
  </si>
  <si>
    <t>Melissa PESF</t>
  </si>
  <si>
    <t>Calabria</t>
  </si>
  <si>
    <t>Melissa Strongoli</t>
  </si>
  <si>
    <t>Mistretta</t>
  </si>
  <si>
    <t>Montazzoli</t>
  </si>
  <si>
    <t>Monteferrante</t>
  </si>
  <si>
    <t>Montemignaio</t>
  </si>
  <si>
    <t>Toscana</t>
  </si>
  <si>
    <t>Orsara di Puglia</t>
  </si>
  <si>
    <t>Rignano Garganico</t>
  </si>
  <si>
    <t>Ripabottoni</t>
  </si>
  <si>
    <t>Roccaspinalveti</t>
  </si>
  <si>
    <t>Rocchetta S.Antonio</t>
  </si>
  <si>
    <t>Rojo del Sangro</t>
  </si>
  <si>
    <t>San benedetto Val di Sambro</t>
  </si>
  <si>
    <t>Emilia Romagna</t>
  </si>
  <si>
    <t>San Giorgio la Molara Polero</t>
  </si>
  <si>
    <t>Schiavi d'Abruzzo</t>
  </si>
  <si>
    <t>Schiavi d'Abruzzo (IR2)</t>
  </si>
  <si>
    <t>Sella di Conza</t>
  </si>
  <si>
    <t>Troia</t>
  </si>
  <si>
    <t>Vaglio Ampliamento</t>
  </si>
  <si>
    <t>Basilicata</t>
  </si>
  <si>
    <t>Vaglio di Basilicata</t>
  </si>
  <si>
    <t>Vaglio IR</t>
  </si>
  <si>
    <t>Volturara Motta Montecorvino</t>
  </si>
  <si>
    <t>Volturino</t>
  </si>
  <si>
    <t>Photovoltaic and biomass</t>
  </si>
  <si>
    <t>Photovoltaic Altomonte</t>
  </si>
  <si>
    <t>Solar</t>
  </si>
  <si>
    <t>Photovoltaic Piedimonte</t>
  </si>
  <si>
    <t>Lazio</t>
  </si>
  <si>
    <t>Photovoltaic  Dora</t>
  </si>
  <si>
    <t>Piemonte</t>
  </si>
  <si>
    <t>Photovoltaic  Montalto</t>
  </si>
  <si>
    <t>Photovoltaic  Castellavazzo</t>
  </si>
  <si>
    <t>Veneto</t>
  </si>
  <si>
    <t>Compagnia Energetica Bellunese Spa</t>
  </si>
  <si>
    <t>Photovoltaic Oviglio</t>
  </si>
  <si>
    <t>Photovoltaic Cascine Bianche</t>
  </si>
  <si>
    <t>Photovoltaic Termoli</t>
  </si>
  <si>
    <t>Castellavazzo</t>
  </si>
  <si>
    <t>Biomass</t>
  </si>
  <si>
    <t>Total photovoltaic and biomass (MW)</t>
  </si>
  <si>
    <t xml:space="preserve">HAUPT PHARMA </t>
  </si>
  <si>
    <t>Borgo San Michele di Latina (LT)</t>
  </si>
  <si>
    <t>Edison Energy Solutions Spa</t>
  </si>
  <si>
    <t>CHP</t>
  </si>
  <si>
    <t>Natural gas</t>
  </si>
  <si>
    <t>Gas engine</t>
  </si>
  <si>
    <t>CIER</t>
  </si>
  <si>
    <t>Castellalto Vomano (TE)</t>
  </si>
  <si>
    <t>PLASTOTECNICA</t>
  </si>
  <si>
    <t>Bagnoli di Sopra (PD)</t>
  </si>
  <si>
    <t>Albizzate</t>
  </si>
  <si>
    <t>North Italy</t>
  </si>
  <si>
    <t>Fenice</t>
  </si>
  <si>
    <t xml:space="preserve">industrial </t>
  </si>
  <si>
    <t>Cogeneration</t>
  </si>
  <si>
    <t>Atessa Sevel</t>
  </si>
  <si>
    <t>South Italy</t>
  </si>
  <si>
    <t>Trigeneration</t>
  </si>
  <si>
    <t>Barge</t>
  </si>
  <si>
    <t>Brescia</t>
  </si>
  <si>
    <t>Caserta - Marcianise</t>
  </si>
  <si>
    <t>Ergom -Melfi</t>
  </si>
  <si>
    <t>Gelco</t>
  </si>
  <si>
    <t>Melfi (Rendina Ambiente S.r.l)</t>
  </si>
  <si>
    <t>Southern Italy</t>
  </si>
  <si>
    <t>waste from industry and public administration</t>
  </si>
  <si>
    <t>Natural gas/waste</t>
  </si>
  <si>
    <t>Furnace</t>
  </si>
  <si>
    <t>Parma</t>
  </si>
  <si>
    <t>Central Italy</t>
  </si>
  <si>
    <t>industrial</t>
  </si>
  <si>
    <t>Sata</t>
  </si>
  <si>
    <t>Scarlino</t>
  </si>
  <si>
    <t>Stura</t>
  </si>
  <si>
    <t>Piemme Castelvetro</t>
  </si>
  <si>
    <t>Thermal Power Plants</t>
  </si>
  <si>
    <t>FAI (Fondo Ambiente Italiano)</t>
  </si>
  <si>
    <t>Milano (MI)</t>
  </si>
  <si>
    <t>1 Heater + 3 Heat Pumps</t>
  </si>
  <si>
    <t>La Mandria</t>
  </si>
  <si>
    <t>Northern Italy</t>
  </si>
  <si>
    <t>Electricity grid</t>
  </si>
  <si>
    <t>canal</t>
  </si>
  <si>
    <t>Photovoltaic Mediglia</t>
  </si>
  <si>
    <t>Mediglia (MI)</t>
  </si>
  <si>
    <t>Photovoltaic Latina</t>
  </si>
  <si>
    <t>Latina (LT)</t>
  </si>
  <si>
    <t>Photovoltaic Monza</t>
  </si>
  <si>
    <t>Monza (MB)</t>
  </si>
  <si>
    <t>Total photovoltaic (MW)</t>
  </si>
  <si>
    <t>Poland (Rzeszow)</t>
  </si>
  <si>
    <t xml:space="preserve">Industrial </t>
  </si>
  <si>
    <t>Coal</t>
  </si>
  <si>
    <t>Spain (Zarzalejo)</t>
  </si>
  <si>
    <t>Spain (Valladolid) Fompedraza FV</t>
  </si>
  <si>
    <t>Photovoltaic</t>
  </si>
  <si>
    <t>Total international (MW)</t>
  </si>
  <si>
    <t>Total energy efficiency (MW)</t>
  </si>
  <si>
    <t>Edison Energy Solutions</t>
  </si>
  <si>
    <t>Total</t>
  </si>
  <si>
    <t>o/w Italy</t>
  </si>
  <si>
    <t xml:space="preserve">        Spain</t>
  </si>
  <si>
    <t>Coal (Poland)</t>
  </si>
  <si>
    <t>Hydroelectric (Italy)</t>
  </si>
  <si>
    <t>Code</t>
  </si>
  <si>
    <t>Capacity</t>
  </si>
  <si>
    <t>Category</t>
  </si>
  <si>
    <t>RES</t>
  </si>
  <si>
    <t>Energy Efficiency</t>
  </si>
  <si>
    <t>Lombardia</t>
  </si>
  <si>
    <t>Umbria</t>
  </si>
  <si>
    <t>Friuli Venezia Giulia</t>
  </si>
  <si>
    <t>Trentino Alto Adige</t>
  </si>
  <si>
    <t>Valle d'Aosta</t>
  </si>
  <si>
    <t>Etichette di riga</t>
  </si>
  <si>
    <t>Totale complessivo</t>
  </si>
  <si>
    <t>Etichette di colonna</t>
  </si>
  <si>
    <t>Somma di Capacity</t>
  </si>
  <si>
    <t>Regular Generation</t>
  </si>
  <si>
    <t>All Technologies</t>
  </si>
  <si>
    <t>Installed Capacity</t>
  </si>
  <si>
    <t>Year</t>
  </si>
  <si>
    <t>GWh</t>
  </si>
  <si>
    <t>Division</t>
  </si>
  <si>
    <t>Power</t>
  </si>
  <si>
    <t>Subcategory</t>
  </si>
  <si>
    <t>End Customers</t>
  </si>
  <si>
    <t>Thermal</t>
  </si>
  <si>
    <t>mln cm</t>
  </si>
  <si>
    <t>Production (Italy)</t>
  </si>
  <si>
    <t>Import</t>
  </si>
  <si>
    <t>Other Purchases</t>
  </si>
  <si>
    <t>Change in Storage</t>
  </si>
  <si>
    <t>Production (Abroad)</t>
  </si>
  <si>
    <t>Residential</t>
  </si>
  <si>
    <t>Industrial</t>
  </si>
  <si>
    <t>Sales (Abroad)</t>
  </si>
  <si>
    <t>Gas</t>
  </si>
  <si>
    <t>Amount</t>
  </si>
  <si>
    <t>Sales</t>
  </si>
  <si>
    <t>Dep &amp; Amort</t>
  </si>
  <si>
    <t>EBIT</t>
  </si>
  <si>
    <t>Assets</t>
  </si>
  <si>
    <t>Cap. Investments</t>
  </si>
  <si>
    <t>Hydrocarbons</t>
  </si>
  <si>
    <t>Corporate</t>
  </si>
  <si>
    <t>Million €</t>
  </si>
  <si>
    <t>Somma di GWh</t>
  </si>
  <si>
    <t>Somma di mln cm</t>
  </si>
  <si>
    <t>Somma di Amount</t>
  </si>
  <si>
    <t>non togliere</t>
  </si>
  <si>
    <t>Colonna1</t>
  </si>
  <si>
    <t>Colonna2</t>
  </si>
  <si>
    <t>Colonna3</t>
  </si>
  <si>
    <t>Colonna4</t>
  </si>
  <si>
    <t>Colonna5</t>
  </si>
  <si>
    <t>Colonna6</t>
  </si>
  <si>
    <t>Colonna7</t>
  </si>
  <si>
    <t>Colonna8</t>
  </si>
  <si>
    <t>Colonna9</t>
  </si>
  <si>
    <t>Colonna10</t>
  </si>
  <si>
    <t>Colonna11</t>
  </si>
  <si>
    <t>Colonna12</t>
  </si>
  <si>
    <t>Colonna13</t>
  </si>
  <si>
    <t>Colonna14</t>
  </si>
  <si>
    <t>Colonna15</t>
  </si>
  <si>
    <t>Colonna16</t>
  </si>
  <si>
    <t>Scope I</t>
  </si>
  <si>
    <t>Energy Generation</t>
  </si>
  <si>
    <t>Hydrocarbons division</t>
  </si>
  <si>
    <t>Energy generation</t>
  </si>
  <si>
    <t xml:space="preserve">     o/w flaring &amp; venting</t>
  </si>
  <si>
    <t>Network leaks*</t>
  </si>
  <si>
    <t>Scope II</t>
  </si>
  <si>
    <t>Business travel</t>
  </si>
  <si>
    <t>Waste disposal</t>
  </si>
  <si>
    <t>(1) The scope of the data includes Fenice S.p.A. and Sersys Ambiente starting from 2017, with the exception of the data relating to CO2 from the production of electric power and thermal energy, which relate to the entire scope of the Group in 2016 as well (Conversion factors and emission factors used in SIRENA 2015 - Lombardy Region</t>
  </si>
  <si>
    <t>(2) Scope II emissions are calculated by applying a location-based methodology. Conversion factors and emission factors used in SIRENA 2015 - Lombardy Region.</t>
  </si>
  <si>
    <t>(3) The scope of the data refers to Edison S.p.A. for 2016 and to the entire Edison Group for 2017 and 2018.</t>
  </si>
  <si>
    <t>Thermoelectric and thermal energy</t>
  </si>
  <si>
    <t>NOX</t>
  </si>
  <si>
    <t>SOX</t>
  </si>
  <si>
    <t>particulates</t>
  </si>
  <si>
    <t>Business</t>
  </si>
  <si>
    <t>Small business</t>
  </si>
  <si>
    <t>Edison Energia</t>
  </si>
  <si>
    <t>AMG Gas Palermo</t>
  </si>
  <si>
    <t>Attiva</t>
  </si>
  <si>
    <t xml:space="preserve">     o/w Residential</t>
  </si>
  <si>
    <t>Power (GWh)</t>
  </si>
  <si>
    <t>Gas (mln scm)</t>
  </si>
  <si>
    <t>Power (no.)</t>
  </si>
  <si>
    <t>Gas (no.)</t>
  </si>
  <si>
    <t>Men</t>
  </si>
  <si>
    <t>Women</t>
  </si>
  <si>
    <t>Managers</t>
  </si>
  <si>
    <t>Middle managers</t>
  </si>
  <si>
    <t>Office staff</t>
  </si>
  <si>
    <t>Production staff</t>
  </si>
  <si>
    <t>Female presence (%)</t>
  </si>
  <si>
    <t>Value</t>
  </si>
  <si>
    <t>Others</t>
  </si>
  <si>
    <r>
      <t>CO</t>
    </r>
    <r>
      <rPr>
        <vertAlign val="subscript"/>
        <sz val="11"/>
        <color theme="1"/>
        <rFont val="Arial"/>
        <family val="2"/>
      </rPr>
      <t>2</t>
    </r>
    <r>
      <rPr>
        <sz val="11"/>
        <color theme="1"/>
        <rFont val="Arial"/>
        <family val="2"/>
      </rPr>
      <t xml:space="preserve"> Emissions</t>
    </r>
  </si>
  <si>
    <t>Air Emissions</t>
  </si>
  <si>
    <r>
      <t>NO</t>
    </r>
    <r>
      <rPr>
        <vertAlign val="subscript"/>
        <sz val="11"/>
        <color theme="1"/>
        <rFont val="Arial"/>
        <family val="2"/>
      </rPr>
      <t>X</t>
    </r>
  </si>
  <si>
    <r>
      <t>SO</t>
    </r>
    <r>
      <rPr>
        <vertAlign val="subscript"/>
        <sz val="11"/>
        <color theme="1"/>
        <rFont val="Arial"/>
        <family val="2"/>
      </rPr>
      <t>X</t>
    </r>
  </si>
  <si>
    <t>Particulates</t>
  </si>
  <si>
    <t>Small Business</t>
  </si>
  <si>
    <t xml:space="preserve">AMG Gas </t>
  </si>
  <si>
    <t>Somma di Value</t>
  </si>
  <si>
    <t>Carbon Intensity</t>
  </si>
  <si>
    <t>Thermoelec. &amp;Thermal</t>
  </si>
  <si>
    <t>Electricity &amp; Thermal</t>
  </si>
  <si>
    <t>Electricity</t>
  </si>
  <si>
    <t>Gas Totale</t>
  </si>
  <si>
    <t>Power Totale</t>
  </si>
  <si>
    <t>Measure unit</t>
  </si>
  <si>
    <t>No.</t>
  </si>
  <si>
    <t>Net Revenues</t>
  </si>
  <si>
    <t>Profit (Group Interest)</t>
  </si>
  <si>
    <t>P&amp;L</t>
  </si>
  <si>
    <t>Net Working Capital</t>
  </si>
  <si>
    <t>Inventories</t>
  </si>
  <si>
    <t>Trade payables</t>
  </si>
  <si>
    <t>Fixed assets and provisions</t>
  </si>
  <si>
    <t>Equity investments</t>
  </si>
  <si>
    <t>Provisions for employee benefits</t>
  </si>
  <si>
    <t>Provisions for risks and charges</t>
  </si>
  <si>
    <t>Shareholder's Equity</t>
  </si>
  <si>
    <t>Cash and cash equivalents</t>
  </si>
  <si>
    <t>NFD</t>
  </si>
  <si>
    <t>Debt/Equity</t>
  </si>
  <si>
    <t>NFD/EBITDA</t>
  </si>
  <si>
    <t>NFD/NIC</t>
  </si>
  <si>
    <t>Ratio</t>
  </si>
  <si>
    <t>Total Thermoelectric (MW)</t>
  </si>
  <si>
    <t>Total Hydroelectric (MW)</t>
  </si>
  <si>
    <t>Total Thermal Power Plants (MW)</t>
  </si>
  <si>
    <t>International</t>
  </si>
  <si>
    <t>Total Wind Power Plants (MW)</t>
  </si>
  <si>
    <t>Electric power</t>
  </si>
  <si>
    <t xml:space="preserve">Natural gas </t>
  </si>
  <si>
    <t>Transmission costs</t>
  </si>
  <si>
    <t>Regasification fee</t>
  </si>
  <si>
    <t>Sundry items</t>
  </si>
  <si>
    <t>Maintenance</t>
  </si>
  <si>
    <t>Professional services</t>
  </si>
  <si>
    <t>use of property not owned</t>
  </si>
  <si>
    <t>Insurance Costs</t>
  </si>
  <si>
    <t>Advertising and communication costs</t>
  </si>
  <si>
    <t>Total Other costs and services used</t>
  </si>
  <si>
    <t>Total Commodity and logistics costs</t>
  </si>
  <si>
    <t>Total Labor costs</t>
  </si>
  <si>
    <t>Indirect taxes and duties</t>
  </si>
  <si>
    <t>Additions to provisions for risks</t>
  </si>
  <si>
    <t>Out of period and sundry items</t>
  </si>
  <si>
    <t>Total Other costs</t>
  </si>
  <si>
    <t>Total Costs</t>
  </si>
  <si>
    <t>Sales revenues</t>
  </si>
  <si>
    <t>Labour costs</t>
  </si>
  <si>
    <t>Net change in fair value of derivatives</t>
  </si>
  <si>
    <t>Depreciation and amortisation</t>
  </si>
  <si>
    <t>1Q</t>
  </si>
  <si>
    <t>2Q</t>
  </si>
  <si>
    <t>1H</t>
  </si>
  <si>
    <t>3Q</t>
  </si>
  <si>
    <t>4Q</t>
  </si>
  <si>
    <t xml:space="preserve">(4) 2018 figures include the acquisition of GNVI in March, Attiva in May and Zephyro in July
</t>
  </si>
  <si>
    <t>Total liabilities</t>
  </si>
  <si>
    <t>P1: proved reserves</t>
  </si>
  <si>
    <t>P2: probable reserves</t>
  </si>
  <si>
    <t>(3) 2018 figures include the acquisition of GNVI in March, Attiva in May and Zephyro in July</t>
  </si>
  <si>
    <t xml:space="preserve">(2) Since January 1, 2018 IFRS 15 “Revenue from contracts with customers” and IFRS9 (relating to financial instruments) entered into force. In order to improve comparability over time, Edison has decided to adopt IFRS15 retrospectively by restating 2017 financial statement. As a result of the adoption of this standard, sales revenues decreased with no impact on EBITDA. The impact of the first adoption of IFRS9 were recorded in equity without restatement of 2017 results. </t>
  </si>
  <si>
    <t>Mini hydro plants</t>
  </si>
  <si>
    <t>Irrigation-related</t>
  </si>
  <si>
    <t>Large hydro plants</t>
  </si>
  <si>
    <t>Generation Plants Italy</t>
  </si>
  <si>
    <t>Total (consolidated line by line)</t>
  </si>
  <si>
    <t>Generation Plants Abroad</t>
  </si>
  <si>
    <t>Total (equity consolidation)</t>
  </si>
  <si>
    <t>Energy Efficiency Plants Italy (generation)</t>
  </si>
  <si>
    <t>Energy Efficiency Plants Abroad (generation)</t>
  </si>
  <si>
    <t>Thermoelectric (Spain)</t>
  </si>
  <si>
    <t>Photovoltaic (Spain)</t>
  </si>
  <si>
    <t>Share capital</t>
  </si>
  <si>
    <t>Cash flow hedge</t>
  </si>
  <si>
    <t>Profit (loss) for the period</t>
  </si>
  <si>
    <t>Total shareholders' equity</t>
  </si>
  <si>
    <t>Appropriation of the 2014 result</t>
  </si>
  <si>
    <t>Total Comprehensive profit (loss) for 2014</t>
  </si>
  <si>
    <t>Balance at Dec. 31, 2015</t>
  </si>
  <si>
    <t>Balance at Dec. 31, 2014</t>
  </si>
  <si>
    <t>Appropriation of the 2015 result</t>
  </si>
  <si>
    <t>Merger by absorption</t>
  </si>
  <si>
    <t>Share capital increase</t>
  </si>
  <si>
    <t>Balance at Dec. 31, 2016</t>
  </si>
  <si>
    <t>Appropriation of the 2016 result</t>
  </si>
  <si>
    <t>Surplus for merger by absorption</t>
  </si>
  <si>
    <t>Other changes in comprehensive profit (loss)</t>
  </si>
  <si>
    <t>Profit (Loss) for 2017</t>
  </si>
  <si>
    <t>Balance at Dec. 31, 2017</t>
  </si>
  <si>
    <t>IFRS 9 - initial application</t>
  </si>
  <si>
    <t>Restated balances at Jan 1, 2018</t>
  </si>
  <si>
    <t xml:space="preserve">      Change in comprehensive income for the period</t>
  </si>
  <si>
    <t xml:space="preserve">      Profit (Loss) for 2015</t>
  </si>
  <si>
    <t xml:space="preserve">      Of which total comprehensive income (loss) 2017</t>
  </si>
  <si>
    <t xml:space="preserve">      Profit (Loss) for 2016</t>
  </si>
  <si>
    <t>Appropriation of the 2017 result</t>
  </si>
  <si>
    <t>Other changes in comprehensive income</t>
  </si>
  <si>
    <t>2018 Profit (loss)</t>
  </si>
  <si>
    <t>Balance at Dec. 31, 2018</t>
  </si>
  <si>
    <t>Period changes 2017</t>
  </si>
  <si>
    <t>Period changes 2018</t>
  </si>
  <si>
    <t xml:space="preserve">      Of which total comprehensive income (loss) 2018</t>
  </si>
  <si>
    <t>Of which:</t>
  </si>
  <si>
    <t>Total comprehensive profit (loss) for 2016</t>
  </si>
  <si>
    <t>Reserve for other components</t>
  </si>
  <si>
    <t>Change in net w.c.</t>
  </si>
  <si>
    <t>Net financial expense paid</t>
  </si>
  <si>
    <t>net income taxes paid</t>
  </si>
  <si>
    <t>net investments</t>
  </si>
  <si>
    <t>Other</t>
  </si>
  <si>
    <t>Net financial debt Dic. 31, 2018</t>
  </si>
  <si>
    <t>Net financial debt Dic. 31, 2017</t>
  </si>
  <si>
    <t>Cash, chash equivalents and financial assets</t>
  </si>
  <si>
    <t>Net financial debt</t>
  </si>
  <si>
    <t>12/31/2017</t>
  </si>
  <si>
    <t>12/31/2018</t>
  </si>
  <si>
    <t>Due to banks</t>
  </si>
  <si>
    <t>Due to EDF Group companies</t>
  </si>
  <si>
    <t>Financial leasing</t>
  </si>
  <si>
    <t>Due to other lenders</t>
  </si>
  <si>
    <t>Bonds</t>
  </si>
  <si>
    <t>Bei</t>
  </si>
  <si>
    <t>Prices</t>
  </si>
  <si>
    <t xml:space="preserve">     Thermoelectric</t>
  </si>
  <si>
    <t xml:space="preserve">     Hydroelectric</t>
  </si>
  <si>
    <t xml:space="preserve">     Photovoltaic</t>
  </si>
  <si>
    <t xml:space="preserve">     Wind power</t>
  </si>
  <si>
    <t xml:space="preserve">     Geothermal</t>
  </si>
  <si>
    <t>Net production</t>
  </si>
  <si>
    <t>Pumping consumption</t>
  </si>
  <si>
    <t>Total Demand</t>
  </si>
  <si>
    <t>Clean Spark Spread</t>
  </si>
  <si>
    <t>Industrial users</t>
  </si>
  <si>
    <t>Services and residential customers</t>
  </si>
  <si>
    <t>Thermoelectric power plants</t>
  </si>
  <si>
    <t>System usage and leaks</t>
  </si>
  <si>
    <t>Dividends</t>
  </si>
  <si>
    <t>Ordinary Shares (€/share)</t>
  </si>
  <si>
    <t>Saving Shares (€/share)</t>
  </si>
  <si>
    <t>Total dividends paid (mln €)</t>
  </si>
  <si>
    <t>-</t>
  </si>
  <si>
    <t>Grafico GFD1</t>
  </si>
  <si>
    <t>Grafico GFD2</t>
  </si>
  <si>
    <t>TabellaPivotFS1</t>
  </si>
  <si>
    <t>Net financial income (expense) on net financial debt (available funds)</t>
  </si>
  <si>
    <t>Income (expense on assignment of receivables without recourse</t>
  </si>
  <si>
    <t>Other net financial income (expense)</t>
  </si>
  <si>
    <t>Gains (losses) on the sale of equity investments</t>
  </si>
  <si>
    <t>Profit (Loss) before taxes</t>
  </si>
  <si>
    <t>Profit (Loss) from continuing operations</t>
  </si>
  <si>
    <t>Profit (Loss) from discontinued operations</t>
  </si>
  <si>
    <t>Net income (loss) for the year</t>
  </si>
  <si>
    <t xml:space="preserve">    of which:</t>
  </si>
  <si>
    <t xml:space="preserve">          Gas activities</t>
  </si>
  <si>
    <t xml:space="preserve">          Exploration and production</t>
  </si>
  <si>
    <t>Reserve from Merger and absorption</t>
  </si>
  <si>
    <t>Reserves and retained earnings (loss carryforward)</t>
  </si>
  <si>
    <t>Scope III</t>
  </si>
  <si>
    <t>Tecnologie per selezionare in grafico mappa</t>
  </si>
  <si>
    <t>Unit</t>
  </si>
  <si>
    <t>€/MWh</t>
  </si>
  <si>
    <t>€c/scm</t>
  </si>
  <si>
    <t>€/ton</t>
  </si>
  <si>
    <t>$/bbl</t>
  </si>
  <si>
    <t>$/€</t>
  </si>
  <si>
    <t>Exchange rate</t>
  </si>
  <si>
    <t>€/bbl</t>
  </si>
  <si>
    <t>GR2</t>
  </si>
  <si>
    <r>
      <t>Cost of CO</t>
    </r>
    <r>
      <rPr>
        <vertAlign val="subscript"/>
        <sz val="10"/>
        <color theme="2" tint="-0.499984740745262"/>
        <rFont val="Arial"/>
        <family val="2"/>
      </rPr>
      <t>2</t>
    </r>
  </si>
  <si>
    <t>(€ mln)</t>
  </si>
  <si>
    <r>
      <t>2017 R</t>
    </r>
    <r>
      <rPr>
        <b/>
        <vertAlign val="superscript"/>
        <sz val="10"/>
        <color theme="6"/>
        <rFont val="Arial"/>
        <family val="2"/>
      </rPr>
      <t>(1)</t>
    </r>
  </si>
  <si>
    <r>
      <t>2018</t>
    </r>
    <r>
      <rPr>
        <b/>
        <vertAlign val="superscript"/>
        <sz val="10"/>
        <color theme="6"/>
        <rFont val="Arial"/>
        <family val="2"/>
      </rPr>
      <t>(2)</t>
    </r>
  </si>
  <si>
    <t>Commodity and logistics costs</t>
  </si>
  <si>
    <t>Other costs and services used</t>
  </si>
  <si>
    <t>Other costs</t>
  </si>
  <si>
    <t>Receivables (write-downs) / reversals</t>
  </si>
  <si>
    <t>(Write-downs) and reversals</t>
  </si>
  <si>
    <t>Other income (expense)</t>
  </si>
  <si>
    <t>Net financial income (expense) on debt</t>
  </si>
  <si>
    <t>Net financial income (expense) on assigned trade receivables without recourse</t>
  </si>
  <si>
    <r>
      <t>2016</t>
    </r>
    <r>
      <rPr>
        <b/>
        <vertAlign val="superscript"/>
        <sz val="10"/>
        <color theme="6"/>
        <rFont val="Arial"/>
        <family val="2"/>
      </rPr>
      <t>(1)</t>
    </r>
  </si>
  <si>
    <r>
      <t>2017 R</t>
    </r>
    <r>
      <rPr>
        <b/>
        <vertAlign val="superscript"/>
        <sz val="10"/>
        <color theme="6"/>
        <rFont val="Arial"/>
        <family val="2"/>
      </rPr>
      <t>(2)</t>
    </r>
  </si>
  <si>
    <t>Changes in working capital</t>
  </si>
  <si>
    <t>Dividends paid &amp; other items</t>
  </si>
  <si>
    <t>Net cash flow</t>
  </si>
  <si>
    <t>Grafico NFD</t>
  </si>
  <si>
    <t>Total NIC</t>
  </si>
  <si>
    <t>Source: Edison data</t>
  </si>
  <si>
    <t>Commodity and logistic costs</t>
  </si>
  <si>
    <t>Receivable (write-downs) / reversals</t>
  </si>
  <si>
    <t xml:space="preserve">     Depreciation</t>
  </si>
  <si>
    <t xml:space="preserve">     Amortization</t>
  </si>
  <si>
    <t>Electric Power Operations</t>
  </si>
  <si>
    <t>Hydrocarbons Operations</t>
  </si>
  <si>
    <t>Corporate Operations</t>
  </si>
  <si>
    <t>(GWh)</t>
  </si>
  <si>
    <t xml:space="preserve">     Of which investments in exploration</t>
  </si>
  <si>
    <t>(kbbl)</t>
  </si>
  <si>
    <t>Reserves P1 + 50% P2 (bln cm equivalent)</t>
  </si>
  <si>
    <t>Reserves P1 + 50% P2 (Mboe equivalent)</t>
  </si>
  <si>
    <t>(TWh)</t>
  </si>
  <si>
    <t>(bcm)</t>
  </si>
  <si>
    <t>Consolidated Cash Flow</t>
  </si>
  <si>
    <t>Sales Revenues</t>
  </si>
  <si>
    <r>
      <t>FY</t>
    </r>
    <r>
      <rPr>
        <b/>
        <vertAlign val="superscript"/>
        <sz val="10"/>
        <color theme="6"/>
        <rFont val="Arial"/>
        <family val="2"/>
      </rPr>
      <t>(1)</t>
    </r>
  </si>
  <si>
    <r>
      <t>2017 R</t>
    </r>
    <r>
      <rPr>
        <b/>
        <vertAlign val="superscript"/>
        <sz val="11"/>
        <color theme="6"/>
        <rFont val="Arial"/>
        <family val="2"/>
      </rPr>
      <t>(3)</t>
    </r>
  </si>
  <si>
    <t>Power Operations</t>
  </si>
  <si>
    <t>Other income</t>
  </si>
  <si>
    <r>
      <t>2017 R</t>
    </r>
    <r>
      <rPr>
        <b/>
        <vertAlign val="superscript"/>
        <sz val="11"/>
        <color theme="6"/>
        <rFont val="Arial"/>
        <family val="2"/>
      </rPr>
      <t>(2)</t>
    </r>
  </si>
  <si>
    <t>no</t>
  </si>
  <si>
    <t>Net efficient power MW</t>
  </si>
  <si>
    <t>Thermoelectric Generation Plants</t>
  </si>
  <si>
    <t>No</t>
  </si>
  <si>
    <t>Plants</t>
  </si>
  <si>
    <t>Hydroelectric Generation Plants</t>
  </si>
  <si>
    <t>Consolidated capacity  MW</t>
  </si>
  <si>
    <t>Nominal capacit MW</t>
  </si>
  <si>
    <t>Total Other Renewables</t>
  </si>
  <si>
    <t>Other Renewables Generation Plants</t>
  </si>
  <si>
    <t>Net installed capacity MW</t>
  </si>
  <si>
    <t>Edison stake in net installed capacity MW</t>
  </si>
  <si>
    <r>
      <t>Carbon intensity (gross g/kWh)</t>
    </r>
    <r>
      <rPr>
        <b/>
        <vertAlign val="superscript"/>
        <sz val="10"/>
        <color theme="6"/>
        <rFont val="Arial"/>
        <family val="2"/>
      </rPr>
      <t>(3)</t>
    </r>
  </si>
  <si>
    <r>
      <t>CO</t>
    </r>
    <r>
      <rPr>
        <b/>
        <vertAlign val="subscript"/>
        <sz val="10"/>
        <color theme="2" tint="-0.499984740745262"/>
        <rFont val="Arial"/>
        <family val="2"/>
      </rPr>
      <t>2</t>
    </r>
    <r>
      <rPr>
        <b/>
        <sz val="10"/>
        <color theme="2" tint="-0.499984740745262"/>
        <rFont val="Arial"/>
        <family val="2"/>
      </rPr>
      <t xml:space="preserve"> Emissions</t>
    </r>
  </si>
  <si>
    <r>
      <t>CO</t>
    </r>
    <r>
      <rPr>
        <b/>
        <vertAlign val="subscript"/>
        <sz val="10"/>
        <color theme="6"/>
        <rFont val="Arial"/>
        <family val="2"/>
      </rPr>
      <t xml:space="preserve">2 </t>
    </r>
    <r>
      <rPr>
        <b/>
        <sz val="10"/>
        <color theme="6"/>
        <rFont val="Arial"/>
        <family val="2"/>
      </rPr>
      <t>emissions (tons)</t>
    </r>
    <r>
      <rPr>
        <b/>
        <vertAlign val="superscript"/>
        <sz val="10"/>
        <color theme="6"/>
        <rFont val="Arial"/>
        <family val="2"/>
      </rPr>
      <t>(1)</t>
    </r>
  </si>
  <si>
    <r>
      <t>Air Emissions (ton)</t>
    </r>
    <r>
      <rPr>
        <b/>
        <vertAlign val="superscript"/>
        <sz val="10"/>
        <color theme="6"/>
        <rFont val="Arial"/>
        <family val="2"/>
      </rPr>
      <t>(3)</t>
    </r>
  </si>
  <si>
    <t>Breakdown by gender (no)</t>
  </si>
  <si>
    <t>Overall</t>
  </si>
  <si>
    <t>Injuries in the workplace</t>
  </si>
  <si>
    <t>Lost days due to injury</t>
  </si>
  <si>
    <t>Fatalities</t>
  </si>
  <si>
    <t>Occupational diseases</t>
  </si>
  <si>
    <t>Injury frequency rate</t>
  </si>
  <si>
    <t>For personnel abroad</t>
  </si>
  <si>
    <t>Group</t>
  </si>
  <si>
    <t>Group &amp; third parties</t>
  </si>
  <si>
    <r>
      <t xml:space="preserve">Statement of changes in Shareholders' Equity </t>
    </r>
    <r>
      <rPr>
        <b/>
        <sz val="11"/>
        <color theme="6"/>
        <rFont val="Arial"/>
        <family val="2"/>
      </rPr>
      <t>(€mln)</t>
    </r>
  </si>
  <si>
    <t>Consolidated Balance Sheet</t>
  </si>
  <si>
    <t>Property plant and equipment</t>
  </si>
  <si>
    <t>Goodwill</t>
  </si>
  <si>
    <t>Other non-current assets</t>
  </si>
  <si>
    <t>Total non-current assets</t>
  </si>
  <si>
    <t>Trade receivables</t>
  </si>
  <si>
    <t>Current-tax assets</t>
  </si>
  <si>
    <t>Other current assets</t>
  </si>
  <si>
    <t>Total current assets</t>
  </si>
  <si>
    <t>Assets under disposal</t>
  </si>
  <si>
    <t>Liabilities and Shareholders' equity</t>
  </si>
  <si>
    <t>Statutory reserve</t>
  </si>
  <si>
    <t xml:space="preserve">Profit (loss) carried forward </t>
  </si>
  <si>
    <t>Reserve for other components of comprehensive income</t>
  </si>
  <si>
    <t>Deferred-tax liabilities</t>
  </si>
  <si>
    <t>Non-current financial debt</t>
  </si>
  <si>
    <t>Derivative financial instruments and FVH - non-current</t>
  </si>
  <si>
    <t>Other non-current liabilities</t>
  </si>
  <si>
    <t>Total non-current liabilities</t>
  </si>
  <si>
    <t>Other current liabilities</t>
  </si>
  <si>
    <t>Derivatives financial instruments and FVH - current</t>
  </si>
  <si>
    <t>Current financial debt</t>
  </si>
  <si>
    <t>Current financial payables to subsidiaries and affiliated companies</t>
  </si>
  <si>
    <t>Total current liabilities</t>
  </si>
  <si>
    <t>Liabilities under disposal</t>
  </si>
  <si>
    <t>Total liabilities and shareholders' equity</t>
  </si>
  <si>
    <t>Deferred-tax assets</t>
  </si>
  <si>
    <t>Reserve and retained earnings (loss carryfordward)</t>
  </si>
  <si>
    <t>Group interest in profit (loss)</t>
  </si>
  <si>
    <t>Current taxes payable</t>
  </si>
  <si>
    <t>Shareholders' equity attributable to Parent Company shareholders</t>
  </si>
  <si>
    <t>(2) Since January 1, 2017, for a better representation of the operating working capital, the receivables and payables owed to/by partners and associates in hydrocarbon exploration projects are respectively included in trade receivables and trade payables, instead of in other receivables and other liabilities. For the purposes of consistent comparison the amounts at December 31, 2016, receivables for 47 million euros and payables for 88 million euros, were reclassified in coherence with the 2017 data.</t>
  </si>
  <si>
    <r>
      <t>Trade receivables</t>
    </r>
    <r>
      <rPr>
        <vertAlign val="superscript"/>
        <sz val="10"/>
        <color theme="2" tint="-0.499984740745262"/>
        <rFont val="Arial"/>
        <family val="2"/>
      </rPr>
      <t>(2)</t>
    </r>
  </si>
  <si>
    <r>
      <t>Other current assets</t>
    </r>
    <r>
      <rPr>
        <vertAlign val="superscript"/>
        <sz val="10"/>
        <color theme="2" tint="-0.499984740745262"/>
        <rFont val="Arial"/>
        <family val="2"/>
      </rPr>
      <t>(2)</t>
    </r>
  </si>
  <si>
    <r>
      <t>Trade payables</t>
    </r>
    <r>
      <rPr>
        <vertAlign val="superscript"/>
        <sz val="10"/>
        <color theme="2" tint="-0.499984740745262"/>
        <rFont val="Arial"/>
        <family val="2"/>
      </rPr>
      <t>(2)</t>
    </r>
  </si>
  <si>
    <r>
      <t>Other current liabilities</t>
    </r>
    <r>
      <rPr>
        <vertAlign val="superscript"/>
        <sz val="10"/>
        <color theme="2" tint="-0.499984740745262"/>
        <rFont val="Arial"/>
        <family val="2"/>
      </rPr>
      <t>(2)</t>
    </r>
  </si>
  <si>
    <t>ho inserito le percentuale perche non ho i numeri</t>
  </si>
  <si>
    <t>Energy Efficiency Plants</t>
  </si>
  <si>
    <t>Realized commodity derivatives</t>
  </si>
  <si>
    <t>Total shareholders' equity attributable to Parent Company Shareholders</t>
  </si>
  <si>
    <t>Write-downs</t>
  </si>
  <si>
    <t>Receivables (write-downs)/reversals</t>
  </si>
  <si>
    <t>(Write-downs) reversal on non-current assets</t>
  </si>
  <si>
    <t>Financial Expense for decommissioning and adjustment of provisions</t>
  </si>
  <si>
    <t>Revaluations (write-downs) of equity investments</t>
  </si>
  <si>
    <t>numero pulsante</t>
  </si>
  <si>
    <t>Power Volumes</t>
  </si>
  <si>
    <t>Gas Volumes</t>
  </si>
  <si>
    <t>Oil Volumes</t>
  </si>
  <si>
    <t>TabellaPlants</t>
  </si>
  <si>
    <t>TabellaPivotPlants1</t>
  </si>
  <si>
    <t>TabellaPivotPlants2</t>
  </si>
  <si>
    <t>Grafico Capex</t>
  </si>
  <si>
    <t>TabellaMap</t>
  </si>
  <si>
    <t>TabellaDivision</t>
  </si>
  <si>
    <t>TabellaPivotDivision1</t>
  </si>
  <si>
    <t>TabellaPivotDivision2</t>
  </si>
  <si>
    <t>TabellaPower</t>
  </si>
  <si>
    <t>TabellaPivotVolumes1</t>
  </si>
  <si>
    <t>TabellaPivotVolumes2</t>
  </si>
  <si>
    <t>TabellaGas</t>
  </si>
  <si>
    <t>TabellaEmissions</t>
  </si>
  <si>
    <t>TabellaCustomers</t>
  </si>
  <si>
    <t>TabellaPivotCustomers</t>
  </si>
  <si>
    <t>TabellaPivotEmissions</t>
  </si>
  <si>
    <t>TabellaFS</t>
  </si>
  <si>
    <t>(1) time-weighted average (TWA) for Single Electricity Price (Prezzo Unico Nazionale).</t>
  </si>
  <si>
    <r>
      <t>Oil price</t>
    </r>
    <r>
      <rPr>
        <vertAlign val="superscript"/>
        <sz val="10"/>
        <color theme="2" tint="-0.499984740745262"/>
        <rFont val="Arial"/>
        <family val="2"/>
      </rPr>
      <t>(4)</t>
    </r>
  </si>
  <si>
    <r>
      <t>European gas hub of reference</t>
    </r>
    <r>
      <rPr>
        <vertAlign val="superscript"/>
        <sz val="10"/>
        <color theme="2" tint="-0.499984740745262"/>
        <rFont val="Arial"/>
        <family val="2"/>
      </rPr>
      <t>(3)</t>
    </r>
  </si>
  <si>
    <t>(3) TTF</t>
  </si>
  <si>
    <r>
      <t>Italian Electricity Demand</t>
    </r>
    <r>
      <rPr>
        <b/>
        <vertAlign val="superscript"/>
        <sz val="12"/>
        <color theme="6"/>
        <rFont val="Arial"/>
        <family val="2"/>
      </rPr>
      <t>(1)</t>
    </r>
  </si>
  <si>
    <t xml:space="preserve">(3) 2018 figures include the acquisition of GNVI in March, Attiva in May and Zephyro in July
</t>
  </si>
  <si>
    <r>
      <t>2017</t>
    </r>
    <r>
      <rPr>
        <b/>
        <vertAlign val="superscript"/>
        <sz val="10"/>
        <color theme="6"/>
        <rFont val="Arial"/>
        <family val="2"/>
      </rPr>
      <t>(2)</t>
    </r>
  </si>
  <si>
    <r>
      <t>Current financial assets</t>
    </r>
    <r>
      <rPr>
        <vertAlign val="superscript"/>
        <sz val="10"/>
        <color theme="2" tint="-0.499984740745262"/>
        <rFont val="Arial"/>
        <family val="2"/>
      </rPr>
      <t>(3)</t>
    </r>
  </si>
  <si>
    <r>
      <t>2016</t>
    </r>
    <r>
      <rPr>
        <b/>
        <vertAlign val="superscript"/>
        <sz val="11"/>
        <color theme="6"/>
        <rFont val="Arial"/>
        <family val="2"/>
      </rPr>
      <t>(1)</t>
    </r>
  </si>
  <si>
    <r>
      <t>Adjusted EBITDA</t>
    </r>
    <r>
      <rPr>
        <b/>
        <vertAlign val="superscript"/>
        <sz val="10"/>
        <color theme="2" tint="-0.499984740745262"/>
        <rFont val="Arial"/>
        <family val="2"/>
      </rPr>
      <t>(4)</t>
    </r>
  </si>
  <si>
    <t>(3) Starting from 2018, detail by business segment of investments in intangibles is no longer available</t>
  </si>
  <si>
    <t>Edison net production</t>
  </si>
  <si>
    <t xml:space="preserve">(1) In order to improve comparability over time, Edison has decided to adopt IFRS15 retrospectively by restating 2017 volumes. </t>
  </si>
  <si>
    <t>(2) Since January 1, 2018 IFRS 15 “Revenue from contracts with customers” and IFRS9 (relating to financial instruments) entered into force. In order to improve comparability over time, Edison has decided to adopt IFRS15 retrospectively by restating 2017 financial statement. As a result of the adoption of this standard, sales revenues decreased with no impact on EBITDA. The impact of the first adoption of IFRS9 were recorded in equity without restatement of 2017 results.  In addition, in order to  reflect the retrospective adoption of IFRS 15 in 2017, Other purchases and Other sales of Power volumes sources and uses have been restated accordingly.</t>
  </si>
  <si>
    <t xml:space="preserve">(4) Adjusted EBITDA, calculated up to December 31, 2017, reflects the effect of the reclassification from the Hydrocarbons Operations to the Electric Power Operations of the portion of the results of commodity and foreign exchange hedges executed in connection with contracts to import natural gas attributable to the Electric Power Operations. In FY2018 such reclassification is not required. </t>
  </si>
  <si>
    <r>
      <t>Adjusted EBITDA</t>
    </r>
    <r>
      <rPr>
        <vertAlign val="superscript"/>
        <sz val="10"/>
        <color theme="2" tint="-0.499984740745262"/>
        <rFont val="Arial"/>
        <family val="2"/>
      </rPr>
      <t>(4)</t>
    </r>
    <r>
      <rPr>
        <sz val="10"/>
        <color theme="2" tint="-0.499984740745262"/>
        <rFont val="Arial"/>
        <family val="2"/>
      </rPr>
      <t xml:space="preserve"> Electric Power operations</t>
    </r>
  </si>
  <si>
    <r>
      <t>Adjusted EBITDA</t>
    </r>
    <r>
      <rPr>
        <vertAlign val="superscript"/>
        <sz val="10"/>
        <color theme="2" tint="-0.499984740745262"/>
        <rFont val="Arial"/>
        <family val="2"/>
      </rPr>
      <t>(4)</t>
    </r>
    <r>
      <rPr>
        <sz val="10"/>
        <color theme="2" tint="-0.499984740745262"/>
        <rFont val="Arial"/>
        <family val="2"/>
      </rPr>
      <t xml:space="preserve"> Hydrocarbons operations</t>
    </r>
  </si>
  <si>
    <r>
      <t>Other income (expense) non Energy activities</t>
    </r>
    <r>
      <rPr>
        <vertAlign val="superscript"/>
        <sz val="10"/>
        <color theme="2" tint="-0.499984740745262"/>
        <rFont val="Arial"/>
        <family val="2"/>
      </rPr>
      <t>(5)</t>
    </r>
  </si>
  <si>
    <t xml:space="preserve">(1) In accordance with IFRS 11 “Joint arrangements” from January 2014 some companies were deconsolidated line by line and valued by equity method.
</t>
  </si>
  <si>
    <r>
      <t>Thermoelectric Plants - Deconsolidated (out of Edison perimeter)</t>
    </r>
    <r>
      <rPr>
        <b/>
        <vertAlign val="superscript"/>
        <sz val="11"/>
        <color theme="6"/>
        <rFont val="Arial"/>
        <family val="2"/>
      </rPr>
      <t>(1)</t>
    </r>
  </si>
  <si>
    <t>(2) Power generated imported in Italy and classified in Edison volumes among other purchases, not in hydroelectric power generation</t>
  </si>
  <si>
    <t>(1) stake owned by Frendy Energy Spa</t>
  </si>
  <si>
    <r>
      <t>Kraftwerke</t>
    </r>
    <r>
      <rPr>
        <vertAlign val="superscript"/>
        <sz val="10"/>
        <color theme="2" tint="-0.499984740745262"/>
        <rFont val="Arial"/>
        <family val="2"/>
      </rPr>
      <t>(2)</t>
    </r>
  </si>
  <si>
    <t>Cresti</t>
  </si>
  <si>
    <r>
      <t>51</t>
    </r>
    <r>
      <rPr>
        <i/>
        <vertAlign val="superscript"/>
        <sz val="10"/>
        <color theme="2" tint="-0.499984740745262"/>
        <rFont val="Arial"/>
        <family val="2"/>
      </rPr>
      <t>(1)</t>
    </r>
  </si>
  <si>
    <r>
      <t>Third parties' power consumption</t>
    </r>
    <r>
      <rPr>
        <vertAlign val="superscript"/>
        <sz val="10"/>
        <color theme="2" tint="-0.499984740745262"/>
        <rFont val="Arial"/>
        <family val="2"/>
      </rPr>
      <t>(2)</t>
    </r>
  </si>
  <si>
    <r>
      <t>Electricity and thermal energy</t>
    </r>
    <r>
      <rPr>
        <vertAlign val="superscript"/>
        <sz val="10"/>
        <color theme="2" tint="-0.499984740745262"/>
        <rFont val="Arial"/>
        <family val="2"/>
      </rPr>
      <t>(4)</t>
    </r>
  </si>
  <si>
    <r>
      <t>Electricity</t>
    </r>
    <r>
      <rPr>
        <vertAlign val="superscript"/>
        <sz val="10"/>
        <color theme="2" tint="-0.499984740745262"/>
        <rFont val="Arial"/>
        <family val="2"/>
      </rPr>
      <t>(5)</t>
    </r>
  </si>
  <si>
    <t>(5) includes renewable energy</t>
  </si>
  <si>
    <t>(4) measured in tons of CO2 equivalents</t>
  </si>
  <si>
    <t>Emissions</t>
  </si>
  <si>
    <r>
      <t>Italian electricity price</t>
    </r>
    <r>
      <rPr>
        <vertAlign val="superscript"/>
        <sz val="10"/>
        <color theme="2" tint="-0.499984740745262"/>
        <rFont val="Arial"/>
        <family val="2"/>
      </rPr>
      <t>(1)</t>
    </r>
  </si>
  <si>
    <r>
      <t>Italian spot gas price</t>
    </r>
    <r>
      <rPr>
        <vertAlign val="superscript"/>
        <sz val="10"/>
        <color theme="2" tint="-0.499984740745262"/>
        <rFont val="Arial"/>
        <family val="2"/>
      </rPr>
      <t>(2)</t>
    </r>
  </si>
  <si>
    <t>P&amp;L Totale</t>
  </si>
  <si>
    <t>Net imports</t>
  </si>
  <si>
    <t>(mln scm)</t>
  </si>
  <si>
    <r>
      <t>Gas Sources</t>
    </r>
    <r>
      <rPr>
        <sz val="10"/>
        <color theme="2" tint="-0.499984740745262"/>
        <rFont val="Arial"/>
        <family val="2"/>
      </rPr>
      <t xml:space="preserve"> (mln scm)</t>
    </r>
  </si>
  <si>
    <r>
      <t>Gas Uses</t>
    </r>
    <r>
      <rPr>
        <sz val="10"/>
        <color theme="2" tint="-0.499984740745262"/>
        <rFont val="Arial"/>
        <family val="2"/>
      </rPr>
      <t xml:space="preserve"> (mln scm)</t>
    </r>
  </si>
  <si>
    <r>
      <t>Crude oil production</t>
    </r>
    <r>
      <rPr>
        <sz val="10"/>
        <color theme="2" tint="-0.499984740745262"/>
        <rFont val="Arial"/>
        <family val="2"/>
      </rPr>
      <t xml:space="preserve"> (kbbl)</t>
    </r>
  </si>
  <si>
    <t>EBITDA (ad*)</t>
  </si>
  <si>
    <t>Differential PSV-TTF</t>
  </si>
  <si>
    <t>(2) Virtual Exchange Facility (PSV - Punto Scambio Virtuale)</t>
  </si>
  <si>
    <t>(4) IPE Brent</t>
  </si>
  <si>
    <t>Italian Gas Demand</t>
  </si>
  <si>
    <t>(1) gross of grid losses</t>
  </si>
  <si>
    <t>Source: Terna and Edison estimates</t>
  </si>
  <si>
    <t>Source: Snam Rete Gas, Ministry of Economic Development and Edison estimates</t>
  </si>
  <si>
    <t>Profit &amp; Loss*</t>
  </si>
  <si>
    <t>*This version of the Databook adopts the new format that was first issued in the Consolidated Financial Statemet FY 2018. As a result, the values that no longer fit in this representation have been aggregated and offered as a unified value. For a more detailed explanation please refer to the costs table in this document and the FY 2018 Consolidated Financial Statement.</t>
  </si>
  <si>
    <t xml:space="preserve">Raw materials and services used </t>
  </si>
  <si>
    <t>(5) The Edison Group is involved in various legal and arbitral disputes ranging in different types, through Edison Spa, as universal successor of Montedison Spa, merged in it. For this reason, it was decided to isolate and represent in a dedicated chapter the contribution of these activities to the consolidated income statement and balance sheet, as well as the related contingent liabilities. For a more detailed explanation please refer to note 8 of the FY 2018 Consolidated Financial Statement.</t>
  </si>
  <si>
    <t xml:space="preserve">Net financial income (expense) </t>
  </si>
  <si>
    <t>Consolidated Costs *</t>
  </si>
  <si>
    <r>
      <t>Other costs - previous version</t>
    </r>
    <r>
      <rPr>
        <b/>
        <vertAlign val="superscript"/>
        <sz val="10"/>
        <color theme="2" tint="-0.499984740745262"/>
        <rFont val="Arial"/>
        <family val="2"/>
      </rPr>
      <t>*</t>
    </r>
  </si>
  <si>
    <t>*'This version on the Databook adopts the costs format that is first issued in the Consolidated Financial Statement FY 2018. As a result, all the costs that no longer fit in this representation have been aggregated under "Other costs - prevoius version". These costs are, from time to time: sundry charges; emission rights; other materials, utilities and demineralised industrial water; change in inventories; green certificates.</t>
  </si>
  <si>
    <t>Intangible assets (including hydrocarbons concessions, concessions and licenses)</t>
  </si>
  <si>
    <t>Fair value</t>
  </si>
  <si>
    <t>(3) Since January 1, 2018, following the application of the new accounting principle IFRS 9 the “Available-for-sale investments” and the “Equity investments held for trading” (included for about 3 million of euros in “Current financial assets” at December 31, 2017) were reclassified in “Investments at fair value through profit and loss”. First adoption impacts related to IFRS9 were recorded in equity without restatement</t>
  </si>
  <si>
    <r>
      <t>2018</t>
    </r>
    <r>
      <rPr>
        <b/>
        <vertAlign val="superscript"/>
        <sz val="10"/>
        <color theme="6"/>
        <rFont val="Arial"/>
        <family val="2"/>
      </rPr>
      <t>(2-3)</t>
    </r>
  </si>
  <si>
    <r>
      <t>2018</t>
    </r>
    <r>
      <rPr>
        <b/>
        <vertAlign val="superscript"/>
        <sz val="11"/>
        <color theme="6"/>
        <rFont val="Arial"/>
        <family val="2"/>
      </rPr>
      <t>(3-4)</t>
    </r>
  </si>
  <si>
    <t>*This version of the Databook adopts the new format that was first issued in the Consolidated Financial Statemet FY 2018. As a consequence, there are some missing data that were not pubblished according to the new scheme</t>
  </si>
  <si>
    <t xml:space="preserve">(4) Adjusted EBITDA, calculated up to December 31, 2017, reflect the effect of the reclassification from the Hydrocarbons Operations to the Electric Power Operations of the portion of the results of commodity and foreign exchange hedges executed in connection with contracts to import natural gas attributable to the Electric Power Operations. This reclassification is being made to provide a consistent operational presentation of industrial results. </t>
  </si>
  <si>
    <r>
      <t>Gross investments</t>
    </r>
    <r>
      <rPr>
        <b/>
        <vertAlign val="superscript"/>
        <sz val="10"/>
        <color theme="2" tint="-0.499984740745262"/>
        <rFont val="Arial"/>
        <family val="2"/>
      </rPr>
      <t>(3)</t>
    </r>
  </si>
  <si>
    <t>Eliminations (intra group)</t>
  </si>
  <si>
    <t>Volumes sold</t>
  </si>
  <si>
    <t>Customers</t>
  </si>
  <si>
    <r>
      <t>Number of contracts</t>
    </r>
    <r>
      <rPr>
        <b/>
        <vertAlign val="superscript"/>
        <sz val="10"/>
        <color theme="6"/>
        <rFont val="Arial"/>
        <family val="2"/>
      </rPr>
      <t xml:space="preserve"> (1)</t>
    </r>
  </si>
  <si>
    <t>(1) From 2017 number of contracts (before number of clients). Data do not include Fenice customers (in 2018 398 electricity customers and 21 gas customers).</t>
  </si>
  <si>
    <r>
      <t>Injuries in the workplace</t>
    </r>
    <r>
      <rPr>
        <b/>
        <vertAlign val="superscript"/>
        <sz val="12"/>
        <color theme="6"/>
        <rFont val="Arial"/>
        <family val="2"/>
      </rPr>
      <t>(2)(3)</t>
    </r>
  </si>
  <si>
    <t>(2) GRI Standard 403-2</t>
  </si>
  <si>
    <t>(3)  Fenice S.p.A. data were consolidated for the entire twelve months of 2016. Data referred to hours worked are partially estimated.</t>
  </si>
  <si>
    <r>
      <t>2018</t>
    </r>
    <r>
      <rPr>
        <b/>
        <vertAlign val="superscript"/>
        <sz val="10"/>
        <color theme="6"/>
        <rFont val="Arial"/>
        <family val="2"/>
      </rPr>
      <t>(1)</t>
    </r>
  </si>
  <si>
    <r>
      <t>Other purchases (wholesalers, IPEX, etc.)</t>
    </r>
    <r>
      <rPr>
        <vertAlign val="superscript"/>
        <sz val="10"/>
        <color theme="2" tint="-0.499984740745262"/>
        <rFont val="Arial"/>
        <family val="2"/>
      </rPr>
      <t>(2)</t>
    </r>
  </si>
  <si>
    <t>(2) Gross of line losses and excluding the trading portfolio</t>
  </si>
  <si>
    <r>
      <t>End customers</t>
    </r>
    <r>
      <rPr>
        <vertAlign val="superscript"/>
        <sz val="10"/>
        <color theme="2" tint="-0.499984740745262"/>
        <rFont val="Arial"/>
        <family val="2"/>
      </rPr>
      <t>(3)</t>
    </r>
  </si>
  <si>
    <t xml:space="preserve">(3) Before line losses </t>
  </si>
  <si>
    <r>
      <t>Other sales (wholesalers, IPEX, etc.)</t>
    </r>
    <r>
      <rPr>
        <vertAlign val="superscript"/>
        <sz val="10"/>
        <color theme="2" tint="-0.499984740745262"/>
        <rFont val="Arial"/>
        <family val="2"/>
      </rPr>
      <t>(4)</t>
    </r>
  </si>
  <si>
    <t>(4) Excluding the trading portfolio</t>
  </si>
  <si>
    <t>2017 R</t>
  </si>
  <si>
    <r>
      <t>2018</t>
    </r>
    <r>
      <rPr>
        <b/>
        <vertAlign val="superscript"/>
        <sz val="10"/>
        <color theme="6"/>
        <rFont val="Arial"/>
        <family val="2"/>
      </rPr>
      <t>(5)</t>
    </r>
  </si>
  <si>
    <t xml:space="preserve">(5) 2018 figures include the acquisition of GNVI in March, Attiva in May and Zephyro in July
</t>
  </si>
  <si>
    <r>
      <t>Production in Italy</t>
    </r>
    <r>
      <rPr>
        <vertAlign val="superscript"/>
        <sz val="10"/>
        <color theme="2" tint="-0.499984740745262"/>
        <rFont val="Arial"/>
        <family val="2"/>
      </rPr>
      <t>(6)</t>
    </r>
  </si>
  <si>
    <t>(6) Including the production from the Izabela concession in Croatia imported in Italy from 2014</t>
  </si>
  <si>
    <r>
      <t>Changes in stored gas inventory</t>
    </r>
    <r>
      <rPr>
        <vertAlign val="superscript"/>
        <sz val="10"/>
        <color theme="2" tint="-0.499984740745262"/>
        <rFont val="Arial"/>
        <family val="2"/>
      </rPr>
      <t>(7)</t>
    </r>
  </si>
  <si>
    <t>(7) Includes pipeline leaks. A negative change reflects additions to the stored gas inventory</t>
  </si>
  <si>
    <t>(8) including volumes witheld as production tax</t>
  </si>
  <si>
    <r>
      <t>Production outside Italy</t>
    </r>
    <r>
      <rPr>
        <b/>
        <vertAlign val="superscript"/>
        <sz val="10"/>
        <color theme="2" tint="-0.499984740745262"/>
        <rFont val="Arial"/>
        <family val="2"/>
      </rPr>
      <t>(8)</t>
    </r>
  </si>
  <si>
    <r>
      <t>Sales outside Italy</t>
    </r>
    <r>
      <rPr>
        <b/>
        <vertAlign val="superscript"/>
        <sz val="10"/>
        <color theme="2" tint="-0.499984740745262"/>
        <rFont val="Arial"/>
        <family val="2"/>
      </rPr>
      <t>(8)</t>
    </r>
  </si>
  <si>
    <r>
      <t>Production outside Italy</t>
    </r>
    <r>
      <rPr>
        <vertAlign val="superscript"/>
        <sz val="10"/>
        <color theme="2" tint="-0.499984740745262"/>
        <rFont val="Arial"/>
        <family val="2"/>
      </rPr>
      <t>(8)</t>
    </r>
  </si>
  <si>
    <r>
      <t xml:space="preserve">2016 </t>
    </r>
    <r>
      <rPr>
        <b/>
        <vertAlign val="superscript"/>
        <sz val="11"/>
        <color theme="6"/>
        <rFont val="Arial"/>
        <family val="2"/>
      </rPr>
      <t>(1)</t>
    </r>
  </si>
  <si>
    <r>
      <t>2018</t>
    </r>
    <r>
      <rPr>
        <b/>
        <vertAlign val="superscript"/>
        <sz val="11"/>
        <color theme="6"/>
        <rFont val="Arial"/>
        <family val="2"/>
      </rPr>
      <t>(2-3)</t>
    </r>
  </si>
  <si>
    <r>
      <t>2019</t>
    </r>
    <r>
      <rPr>
        <b/>
        <vertAlign val="superscript"/>
        <sz val="11"/>
        <color theme="6"/>
        <rFont val="Arial"/>
        <family val="2"/>
      </rPr>
      <t>(4)</t>
    </r>
  </si>
  <si>
    <t xml:space="preserve">(4) Adoption of the new international financial reporting standard IFRS 16 “Leases” prospectively starting from January 1, 2019, without restatement of comparative data. </t>
  </si>
  <si>
    <r>
      <t>Adjusted EBITDA</t>
    </r>
    <r>
      <rPr>
        <b/>
        <vertAlign val="superscript"/>
        <sz val="10"/>
        <color theme="2" tint="-0.499984740745262"/>
        <rFont val="Arial"/>
        <family val="2"/>
      </rPr>
      <t>(5)</t>
    </r>
  </si>
  <si>
    <t>(5) Adjusted EBITDA is calculated up to December 31, 2017. It reflects the effect of the reclassification from the Hydrocarbons Operations to the Electric Power Operations of the portion of the results of commodity and foreign exchange hedges executed in connection with contracts to import natural gas attributable to the Electric Power Operations. This reclassification is made to provide a consistent operational presentation of industrial results. Adjusted EBITDA include central staff and technical services. Starting from January 1 2018 such reclassification is not required any longer.</t>
  </si>
  <si>
    <r>
      <t>Other purchases and swaps</t>
    </r>
    <r>
      <rPr>
        <vertAlign val="superscript"/>
        <sz val="10"/>
        <color theme="2" tint="-0.499984740745262"/>
        <rFont val="Arial"/>
        <family val="2"/>
      </rPr>
      <t>(6)</t>
    </r>
  </si>
  <si>
    <r>
      <t>End customers</t>
    </r>
    <r>
      <rPr>
        <vertAlign val="superscript"/>
        <sz val="10"/>
        <color theme="2" tint="-0.499984740745262"/>
        <rFont val="Arial"/>
        <family val="2"/>
      </rPr>
      <t>(7)</t>
    </r>
  </si>
  <si>
    <r>
      <t>Other sales</t>
    </r>
    <r>
      <rPr>
        <vertAlign val="superscript"/>
        <sz val="10"/>
        <color theme="2" tint="-0.499984740745262"/>
        <rFont val="Arial"/>
        <family val="2"/>
      </rPr>
      <t>(8)</t>
    </r>
  </si>
  <si>
    <t>(8) Excluding the trading portfolio</t>
  </si>
  <si>
    <t>(10) Counting volumes withheld as production tax</t>
  </si>
  <si>
    <r>
      <t>Production Italy</t>
    </r>
    <r>
      <rPr>
        <vertAlign val="superscript"/>
        <sz val="10"/>
        <color theme="2" tint="-0.499984740745262"/>
        <rFont val="Arial"/>
        <family val="2"/>
      </rPr>
      <t>(9)</t>
    </r>
  </si>
  <si>
    <r>
      <t>Production outside Italy</t>
    </r>
    <r>
      <rPr>
        <b/>
        <vertAlign val="superscript"/>
        <sz val="10"/>
        <color theme="2" tint="-0.499984740745262"/>
        <rFont val="Arial"/>
        <family val="2"/>
      </rPr>
      <t>(10)</t>
    </r>
  </si>
  <si>
    <r>
      <t>Production outside Italy</t>
    </r>
    <r>
      <rPr>
        <vertAlign val="superscript"/>
        <sz val="10"/>
        <color theme="2" tint="-0.499984740745262"/>
        <rFont val="Arial"/>
        <family val="2"/>
      </rPr>
      <t>(10)</t>
    </r>
  </si>
  <si>
    <r>
      <t xml:space="preserve">Sources </t>
    </r>
    <r>
      <rPr>
        <sz val="10"/>
        <color theme="2" tint="-0.499984740745262"/>
        <rFont val="Arial"/>
        <family val="2"/>
      </rPr>
      <t>(GWh)</t>
    </r>
  </si>
  <si>
    <r>
      <t xml:space="preserve">Uses </t>
    </r>
    <r>
      <rPr>
        <sz val="10"/>
        <color theme="2" tint="-0.499984740745262"/>
        <rFont val="Arial"/>
        <family val="2"/>
      </rPr>
      <t>(GWh)</t>
    </r>
  </si>
  <si>
    <t>(6) Net of line losses and excluding the trading portfolio</t>
  </si>
  <si>
    <t xml:space="preserve">(7) Net of line losses </t>
  </si>
  <si>
    <t xml:space="preserve">Gross Capital Expenditures </t>
  </si>
  <si>
    <t xml:space="preserve">Gross Capital Expenditures and Exploration </t>
  </si>
  <si>
    <t>Raw Materials and Services Used - old version</t>
  </si>
  <si>
    <t>*This table  adopts both, he old and the new format, first issued in the Consolidated Financial Statement FY 2018. Thus, oldest data on raw material and services cost is represented as a single value, while data issued from 2018 is divided intro 4 categories.</t>
  </si>
  <si>
    <t>Consolidated Profit &amp; Loss*</t>
  </si>
  <si>
    <t>Net financial income (expense)</t>
  </si>
  <si>
    <t>*This version of the Databook adopts the new format that was first issued in the Separate Financial Statement FY 2018. As a result, the values that no longer fit in this representation have been aggregated and offered as a unified value. For a more detailed explanation please refer to the  FY 2018 Separate Financial Statement.</t>
  </si>
  <si>
    <t>Separate P&amp;L*</t>
  </si>
  <si>
    <t>Intangible assets</t>
  </si>
  <si>
    <t>Derivative financial instruments and FVH - non current</t>
  </si>
  <si>
    <t>Non current financial assets from subsidiaries and affiliated companies</t>
  </si>
  <si>
    <t>Derivative financial instruments and FVH - current</t>
  </si>
  <si>
    <r>
      <t xml:space="preserve">2016 </t>
    </r>
    <r>
      <rPr>
        <b/>
        <sz val="7"/>
        <color theme="6"/>
        <rFont val="Arial"/>
        <family val="2"/>
      </rPr>
      <t>pro forma</t>
    </r>
    <r>
      <rPr>
        <b/>
        <vertAlign val="superscript"/>
        <sz val="7"/>
        <color theme="6"/>
        <rFont val="Arial"/>
        <family val="2"/>
      </rPr>
      <t>(1)</t>
    </r>
  </si>
  <si>
    <r>
      <t>Other income (expense) non Energy activities</t>
    </r>
    <r>
      <rPr>
        <vertAlign val="superscript"/>
        <sz val="10"/>
        <color theme="2" tint="-0.499984740745262"/>
        <rFont val="Arial"/>
        <family val="2"/>
      </rPr>
      <t>(3)</t>
    </r>
  </si>
  <si>
    <t xml:space="preserve">(3) Edison Spa is involved in various legal and arbitral disputes ranging in different types as universal successor of Montedison Spa, merged in it. For this reason, it was decided to isolate and represent in a dedicated chapter the contribution of these activities to the consolidated income statement and balance sheet, as well as the related contingent liabilities. </t>
  </si>
  <si>
    <t>(1) Pro forma, considering the back dating to January 1, 2017 of the merger between Edison Spa and Edison Trading Spa</t>
  </si>
  <si>
    <r>
      <t xml:space="preserve">2016 
</t>
    </r>
    <r>
      <rPr>
        <b/>
        <sz val="7"/>
        <color theme="6"/>
        <rFont val="Arial"/>
        <family val="2"/>
      </rPr>
      <t>pro forma</t>
    </r>
    <r>
      <rPr>
        <b/>
        <vertAlign val="superscript"/>
        <sz val="7"/>
        <color theme="6"/>
        <rFont val="Arial"/>
        <family val="2"/>
      </rPr>
      <t>(1)</t>
    </r>
  </si>
  <si>
    <t>(3) up to 2016 it includes the non current portion of financial assets from subsidiaries and affiliated companies</t>
  </si>
  <si>
    <r>
      <t>Current financial assets from subsidiaries and affiliated companies</t>
    </r>
    <r>
      <rPr>
        <vertAlign val="superscript"/>
        <sz val="10"/>
        <color theme="2" tint="-0.499984740745262"/>
        <rFont val="Arial"/>
        <family val="2"/>
      </rPr>
      <t>(3)</t>
    </r>
  </si>
  <si>
    <t xml:space="preserve">Profit (loss) of the period </t>
  </si>
  <si>
    <t>Other reserves and retained earnings</t>
  </si>
  <si>
    <t>Reserve from merger and absorption</t>
  </si>
  <si>
    <t>dividend year</t>
  </si>
  <si>
    <t>Actuarial gains (losses) pursuant to IFRS 19</t>
  </si>
  <si>
    <t>Hystorical</t>
  </si>
  <si>
    <t>Generation plants</t>
  </si>
  <si>
    <t>Thermoelectric (MW e nr solo Italia)</t>
  </si>
  <si>
    <t>Hydroelectric (MW e nr solo Italia)</t>
  </si>
  <si>
    <t>Total installed capacity in Italy - consolidated</t>
  </si>
  <si>
    <r>
      <t>Thermoelectric (Greece + Brazil)</t>
    </r>
    <r>
      <rPr>
        <vertAlign val="superscript"/>
        <sz val="10"/>
        <color theme="2" tint="-0.499984740745262"/>
        <rFont val="Arial"/>
        <family val="2"/>
      </rPr>
      <t>(1)</t>
    </r>
  </si>
  <si>
    <r>
      <t>Hydroelectric (Switzerland)</t>
    </r>
    <r>
      <rPr>
        <vertAlign val="superscript"/>
        <sz val="10"/>
        <color theme="2" tint="-0.499984740745262"/>
        <rFont val="Arial"/>
        <family val="2"/>
      </rPr>
      <t>(2)</t>
    </r>
  </si>
  <si>
    <r>
      <t>Wind power plants in Italy</t>
    </r>
    <r>
      <rPr>
        <vertAlign val="superscript"/>
        <sz val="10"/>
        <color theme="2" tint="-0.499984740745262"/>
        <rFont val="Arial"/>
        <family val="2"/>
      </rPr>
      <t>(1)</t>
    </r>
  </si>
  <si>
    <t>(1) equity consolidation</t>
  </si>
  <si>
    <t xml:space="preserve">     Irrigation</t>
  </si>
  <si>
    <t xml:space="preserve">     o/w Large Hydro</t>
  </si>
  <si>
    <t xml:space="preserve">     Mini Hydro</t>
  </si>
  <si>
    <t>(2) power generated imported in Italy and classified in Edison volumes among other purchases, not in hydroelectric power generation</t>
  </si>
  <si>
    <t>Energy efficiency plants</t>
  </si>
  <si>
    <t>Energy efficiency plants (MW)</t>
  </si>
  <si>
    <t>Total installed capacity for generation (Italy and international)</t>
  </si>
  <si>
    <r>
      <t xml:space="preserve">Sales Revenues </t>
    </r>
    <r>
      <rPr>
        <b/>
        <vertAlign val="superscript"/>
        <sz val="10"/>
        <color theme="2" tint="-0.499984740745262"/>
        <rFont val="Arial"/>
        <family val="2"/>
      </rPr>
      <t>(11)</t>
    </r>
  </si>
  <si>
    <r>
      <t xml:space="preserve">Sales revenues </t>
    </r>
    <r>
      <rPr>
        <b/>
        <vertAlign val="superscript"/>
        <sz val="10"/>
        <color theme="2" tint="-0.499984740745262"/>
        <rFont val="Arial"/>
        <family val="2"/>
      </rPr>
      <t>(5)</t>
    </r>
  </si>
  <si>
    <t>(11) Corporate activities, net of other segments and eliminations, the latter mainly referred to gas sales to the Electric Power Operations for the purposes of thermoelectric generation</t>
  </si>
  <si>
    <t>(5) Corporate activities, net of other segments and eliminations, the latter mainly referred to gas sales to the Electric Power Operations for the purposes of thermoelectric generation</t>
  </si>
  <si>
    <r>
      <t>Total assets</t>
    </r>
    <r>
      <rPr>
        <b/>
        <vertAlign val="superscript"/>
        <sz val="10"/>
        <color theme="2" tint="-0.499984740745262"/>
        <rFont val="Arial"/>
        <family val="2"/>
      </rPr>
      <t>(6)</t>
    </r>
  </si>
  <si>
    <r>
      <t>Total liabilities</t>
    </r>
    <r>
      <rPr>
        <b/>
        <vertAlign val="superscript"/>
        <sz val="10"/>
        <color theme="2" tint="-0.499984740745262"/>
        <rFont val="Arial"/>
        <family val="2"/>
      </rPr>
      <t>(6)</t>
    </r>
  </si>
  <si>
    <t>(6) Corporate activities, net of other segments and eliminations, the latter mainly referred to participations and intra-business receivables and payables</t>
  </si>
  <si>
    <r>
      <t>Net invested capital</t>
    </r>
    <r>
      <rPr>
        <b/>
        <vertAlign val="superscript"/>
        <sz val="10"/>
        <color theme="2" tint="-0.499984740745262"/>
        <rFont val="Arial"/>
        <family val="2"/>
      </rPr>
      <t>(7)</t>
    </r>
  </si>
  <si>
    <t>(7) Corporate activities, net of other segments and eliminations</t>
  </si>
  <si>
    <t xml:space="preserve">(12) On July 4, 2019 Edison announced the agreement to sell its E&amp;P business, as a consequence, E&amp;P activities have been recorded among discontinued operations starting from January 1, 2019. In order to allow homogeneous comparison, 2018 economic values have been restated pursuant to IFRS5 to exclude the contribution of E&amp;P activities classified among Discontinued Operatios in 2019. 
</t>
  </si>
  <si>
    <r>
      <t>1Q</t>
    </r>
    <r>
      <rPr>
        <b/>
        <vertAlign val="superscript"/>
        <sz val="10"/>
        <color theme="6"/>
        <rFont val="Arial"/>
        <family val="2"/>
      </rPr>
      <t>(13)</t>
    </r>
  </si>
  <si>
    <r>
      <t>1H</t>
    </r>
    <r>
      <rPr>
        <b/>
        <vertAlign val="superscript"/>
        <sz val="10"/>
        <color theme="6"/>
        <rFont val="Arial"/>
        <family val="2"/>
      </rPr>
      <t>(13)</t>
    </r>
  </si>
  <si>
    <t>(13) Following the announcement of the agreement to sell the E&amp;P activities on July 4, 2019, the results of E&amp;P have been accounted as Discontinued Operations pursuant to IFRS5 in IH2019 results starting from January 1, 2019.  IQ2019 results  are the reported ones (they have not been restated).</t>
  </si>
  <si>
    <t>Gross Capital Expenditures</t>
  </si>
  <si>
    <t>Employees of Discontinued Operations (Number end of period)</t>
  </si>
  <si>
    <t>Production from Discontinued Operations</t>
  </si>
  <si>
    <t>(9) It includes the production from the Izabela concession in Croatia imported into Italy from 2014. From IH2018R and IH2019 only production from Edison Stoccaggio</t>
  </si>
  <si>
    <r>
      <t>2018R</t>
    </r>
    <r>
      <rPr>
        <b/>
        <vertAlign val="superscript"/>
        <sz val="11"/>
        <color theme="6"/>
        <rFont val="Arial"/>
        <family val="2"/>
      </rPr>
      <t>(2-3-12)</t>
    </r>
  </si>
  <si>
    <t>June 30, 2019</t>
  </si>
  <si>
    <t>@ June 30, 2019</t>
  </si>
  <si>
    <t>Montefalcone</t>
  </si>
  <si>
    <t>2019*</t>
  </si>
  <si>
    <t>San Giorgio la Molara</t>
  </si>
  <si>
    <t xml:space="preserve">Spain (Fompedraza) </t>
  </si>
  <si>
    <t>MW @ June 30, 2019</t>
  </si>
  <si>
    <t>MW @ June 30, 2019 (Italy and international)</t>
  </si>
  <si>
    <t>(*) commercial operating date not yet completed, plants connected to the grid, dispatching and take over completed</t>
  </si>
  <si>
    <t>(IR)= integrale ricostruzione/full reconstruction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</si>
</sst>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164" formatCode="_-* #,##0_-;\-* #,##0_-;_-* &quot;-&quot;_-;_-@_-"/>
    <numFmt numFmtId="165" formatCode="_-* #,##0.00_-;\-* #,##0.00_-;_-* &quot;-&quot;??_-;_-@_-"/>
    <numFmt numFmtId="166" formatCode="d\-mmm\-yy"/>
    <numFmt numFmtId="167" formatCode="#,##0.0"/>
    <numFmt numFmtId="168" formatCode="0.0"/>
    <numFmt numFmtId="169" formatCode="0.000"/>
    <numFmt numFmtId="170" formatCode="[$-410]mmm\-yy;@"/>
    <numFmt numFmtId="171" formatCode="0.000000"/>
    <numFmt numFmtId="172" formatCode="_(* #,##0.0_);_(* \(#,##0.0\);_(* &quot;-&quot;??_);_(@_)"/>
    <numFmt numFmtId="173" formatCode="_(* #,##0_);_(* \(#,##0\);_(* &quot;-&quot;??_);_(@_)"/>
    <numFmt numFmtId="174" formatCode="_(* #,##0.00_);_(* \(#,##0.00\);_(* &quot;-&quot;??_);_(@_)"/>
    <numFmt numFmtId="175" formatCode="_(* #,##0.000_);_(* \(#,##0.000\);_(* &quot;-&quot;??_);_(@_)"/>
  </numFmts>
  <fonts count="70" x14ac:knownFonts="1">
    <font>
      <sz val="11"/>
      <color theme="1"/>
      <name val="Calibri"/>
      <family val="2"/>
      <scheme val="minor"/>
    </font>
    <font>
      <b/>
      <sz val="10"/>
      <name val="Arial"/>
      <family val="2"/>
    </font>
    <font>
      <sz val="10"/>
      <name val="Arial"/>
      <family val="2"/>
    </font>
    <font>
      <sz val="10"/>
      <color theme="2" tint="-0.499984740745262"/>
      <name val="Arial"/>
      <family val="2"/>
    </font>
    <font>
      <sz val="11"/>
      <color theme="1"/>
      <name val="Arial"/>
      <family val="2"/>
    </font>
    <font>
      <sz val="11"/>
      <color theme="0"/>
      <name val="Arial"/>
      <family val="2"/>
    </font>
    <font>
      <b/>
      <sz val="16"/>
      <color theme="3"/>
      <name val="Arial"/>
      <family val="2"/>
    </font>
    <font>
      <sz val="11"/>
      <name val="Arial"/>
      <family val="2"/>
    </font>
    <font>
      <b/>
      <sz val="11"/>
      <name val="Arial"/>
      <family val="2"/>
    </font>
    <font>
      <b/>
      <sz val="16"/>
      <color theme="6"/>
      <name val="Arial"/>
      <family val="2"/>
    </font>
    <font>
      <b/>
      <sz val="11"/>
      <color theme="6"/>
      <name val="Arial"/>
      <family val="2"/>
    </font>
    <font>
      <b/>
      <sz val="11"/>
      <color theme="3"/>
      <name val="Arial"/>
      <family val="2"/>
    </font>
    <font>
      <sz val="11"/>
      <color theme="2" tint="-0.499984740745262"/>
      <name val="Arial"/>
      <family val="2"/>
    </font>
    <font>
      <b/>
      <sz val="11"/>
      <color theme="0"/>
      <name val="Arial"/>
      <family val="2"/>
    </font>
    <font>
      <b/>
      <sz val="18"/>
      <color theme="6"/>
      <name val="Arial"/>
      <family val="2"/>
    </font>
    <font>
      <sz val="10"/>
      <color theme="1"/>
      <name val="Arial"/>
      <family val="2"/>
    </font>
    <font>
      <sz val="11"/>
      <color rgb="FFFF0000"/>
      <name val="Arial"/>
      <family val="2"/>
    </font>
    <font>
      <b/>
      <sz val="11"/>
      <color theme="1"/>
      <name val="Arial"/>
      <family val="2"/>
    </font>
    <font>
      <b/>
      <sz val="11"/>
      <color theme="0"/>
      <name val="Calibri"/>
      <family val="2"/>
      <scheme val="minor"/>
    </font>
    <font>
      <b/>
      <sz val="12"/>
      <name val="Calibri"/>
      <family val="2"/>
      <scheme val="minor"/>
    </font>
    <font>
      <b/>
      <sz val="10"/>
      <color theme="1"/>
      <name val="Arial"/>
      <family val="2"/>
    </font>
    <font>
      <sz val="10"/>
      <color rgb="FFFF0000"/>
      <name val="Arial"/>
      <family val="2"/>
    </font>
    <font>
      <sz val="11"/>
      <color theme="2"/>
      <name val="Arial"/>
      <family val="2"/>
    </font>
    <font>
      <sz val="11"/>
      <color theme="5"/>
      <name val="Arial"/>
      <family val="2"/>
    </font>
    <font>
      <vertAlign val="subscript"/>
      <sz val="11"/>
      <color theme="1"/>
      <name val="Arial"/>
      <family val="2"/>
    </font>
    <font>
      <b/>
      <sz val="14"/>
      <color rgb="FFFF0000"/>
      <name val="Arial"/>
      <family val="2"/>
    </font>
    <font>
      <b/>
      <sz val="10"/>
      <color theme="2" tint="-0.499984740745262"/>
      <name val="Arial"/>
      <family val="2"/>
    </font>
    <font>
      <sz val="11"/>
      <color theme="2" tint="-0.499984740745262"/>
      <name val="Calibri"/>
      <family val="2"/>
      <scheme val="minor"/>
    </font>
    <font>
      <i/>
      <sz val="10"/>
      <color theme="2" tint="-0.499984740745262"/>
      <name val="Arial"/>
      <family val="2"/>
    </font>
    <font>
      <b/>
      <sz val="11"/>
      <color theme="2" tint="-0.499984740745262"/>
      <name val="Arial"/>
      <family val="2"/>
    </font>
    <font>
      <i/>
      <sz val="11"/>
      <color theme="2" tint="-0.499984740745262"/>
      <name val="Arial"/>
      <family val="2"/>
    </font>
    <font>
      <b/>
      <sz val="12"/>
      <color theme="2" tint="-0.499984740745262"/>
      <name val="Arial"/>
      <family val="2"/>
    </font>
    <font>
      <sz val="11"/>
      <color theme="3"/>
      <name val="Arial"/>
      <family val="2"/>
    </font>
    <font>
      <sz val="9"/>
      <color theme="2" tint="-0.499984740745262"/>
      <name val="Arial"/>
      <family val="2"/>
    </font>
    <font>
      <b/>
      <sz val="11"/>
      <color indexed="40"/>
      <name val="Arial"/>
      <family val="2"/>
    </font>
    <font>
      <sz val="11"/>
      <color rgb="FFFF0000"/>
      <name val="Calibri"/>
      <family val="2"/>
      <scheme val="minor"/>
    </font>
    <font>
      <sz val="11"/>
      <color theme="1"/>
      <name val="Calibri"/>
      <family val="2"/>
      <scheme val="minor"/>
    </font>
    <font>
      <b/>
      <sz val="14"/>
      <color theme="3"/>
      <name val="Arial"/>
      <family val="2"/>
    </font>
    <font>
      <u/>
      <sz val="11"/>
      <color theme="10"/>
      <name val="Calibri"/>
      <family val="2"/>
      <scheme val="minor"/>
    </font>
    <font>
      <i/>
      <sz val="9"/>
      <color theme="2" tint="-0.499984740745262"/>
      <name val="Arial"/>
      <family val="2"/>
    </font>
    <font>
      <b/>
      <sz val="10"/>
      <color theme="6"/>
      <name val="Arial"/>
      <family val="2"/>
    </font>
    <font>
      <sz val="10"/>
      <color theme="0"/>
      <name val="Arial"/>
      <family val="2"/>
    </font>
    <font>
      <b/>
      <sz val="12"/>
      <color theme="6"/>
      <name val="Arial"/>
      <family val="2"/>
    </font>
    <font>
      <b/>
      <vertAlign val="superscript"/>
      <sz val="12"/>
      <color theme="6"/>
      <name val="Arial"/>
      <family val="2"/>
    </font>
    <font>
      <sz val="11"/>
      <color theme="6"/>
      <name val="Arial"/>
      <family val="2"/>
    </font>
    <font>
      <sz val="10"/>
      <color theme="6"/>
      <name val="Arial"/>
      <family val="2"/>
    </font>
    <font>
      <vertAlign val="superscript"/>
      <sz val="10"/>
      <color theme="2" tint="-0.499984740745262"/>
      <name val="Arial"/>
      <family val="2"/>
    </font>
    <font>
      <vertAlign val="subscript"/>
      <sz val="10"/>
      <color theme="2" tint="-0.499984740745262"/>
      <name val="Arial"/>
      <family val="2"/>
    </font>
    <font>
      <b/>
      <vertAlign val="superscript"/>
      <sz val="10"/>
      <color theme="6"/>
      <name val="Arial"/>
      <family val="2"/>
    </font>
    <font>
      <b/>
      <vertAlign val="superscript"/>
      <sz val="10"/>
      <color theme="2" tint="-0.499984740745262"/>
      <name val="Arial"/>
      <family val="2"/>
    </font>
    <font>
      <sz val="10"/>
      <color rgb="FF960000"/>
      <name val="Arial"/>
      <family val="2"/>
    </font>
    <font>
      <b/>
      <sz val="10"/>
      <color rgb="FF960000"/>
      <name val="Arial"/>
      <family val="2"/>
    </font>
    <font>
      <b/>
      <vertAlign val="superscript"/>
      <sz val="11"/>
      <color theme="6"/>
      <name val="Arial"/>
      <family val="2"/>
    </font>
    <font>
      <b/>
      <sz val="14"/>
      <color theme="6"/>
      <name val="Arial"/>
      <family val="2"/>
    </font>
    <font>
      <b/>
      <sz val="10"/>
      <color rgb="FFFFFFFF"/>
      <name val="Arial"/>
      <family val="2"/>
    </font>
    <font>
      <b/>
      <i/>
      <sz val="10"/>
      <color theme="6"/>
      <name val="Arial"/>
      <family val="2"/>
    </font>
    <font>
      <b/>
      <i/>
      <sz val="10"/>
      <color theme="2" tint="-0.499984740745262"/>
      <name val="Arial"/>
      <family val="2"/>
    </font>
    <font>
      <sz val="10"/>
      <color theme="3"/>
      <name val="Arial"/>
      <family val="2"/>
    </font>
    <font>
      <b/>
      <i/>
      <sz val="10"/>
      <name val="Arial"/>
      <family val="2"/>
    </font>
    <font>
      <b/>
      <vertAlign val="subscript"/>
      <sz val="10"/>
      <color theme="2" tint="-0.499984740745262"/>
      <name val="Arial"/>
      <family val="2"/>
    </font>
    <font>
      <b/>
      <vertAlign val="subscript"/>
      <sz val="10"/>
      <color theme="6"/>
      <name val="Arial"/>
      <family val="2"/>
    </font>
    <font>
      <sz val="11"/>
      <color theme="1"/>
      <name val="Arial"/>
    </font>
    <font>
      <i/>
      <vertAlign val="superscript"/>
      <sz val="10"/>
      <color theme="2" tint="-0.499984740745262"/>
      <name val="Arial"/>
      <family val="2"/>
    </font>
    <font>
      <b/>
      <i/>
      <sz val="9"/>
      <color theme="2" tint="-0.499984740745262"/>
      <name val="Arial"/>
      <family val="2"/>
    </font>
    <font>
      <b/>
      <sz val="7"/>
      <color theme="6"/>
      <name val="Arial"/>
      <family val="2"/>
    </font>
    <font>
      <b/>
      <vertAlign val="superscript"/>
      <sz val="7"/>
      <color theme="6"/>
      <name val="Arial"/>
      <family val="2"/>
    </font>
    <font>
      <b/>
      <i/>
      <sz val="16"/>
      <color theme="6"/>
      <name val="Arial"/>
      <family val="2"/>
    </font>
    <font>
      <i/>
      <sz val="11"/>
      <color theme="1"/>
      <name val="Arial"/>
      <family val="2"/>
    </font>
    <font>
      <sz val="10"/>
      <color rgb="FFC00000"/>
      <name val="Arial"/>
      <family val="2"/>
    </font>
    <font>
      <b/>
      <sz val="10"/>
      <color rgb="FFC00000"/>
      <name val="Arial"/>
      <family val="2"/>
    </font>
  </fonts>
  <fills count="16">
    <fill>
      <patternFill patternType="none"/>
    </fill>
    <fill>
      <patternFill patternType="gray125"/>
    </fill>
    <fill>
      <patternFill patternType="solid">
        <fgColor theme="0"/>
        <bgColor indexed="64"/>
      </patternFill>
    </fill>
    <fill>
      <patternFill patternType="solid">
        <fgColor theme="2" tint="0.7999816888943144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5"/>
        <bgColor indexed="64"/>
      </patternFill>
    </fill>
    <fill>
      <patternFill patternType="solid">
        <fgColor theme="0" tint="-0.14999847407452621"/>
        <bgColor indexed="64"/>
      </patternFill>
    </fill>
    <fill>
      <patternFill patternType="darkUp">
        <fgColor theme="2" tint="0.79998168889431442"/>
        <bgColor indexed="65"/>
      </patternFill>
    </fill>
    <fill>
      <patternFill patternType="solid">
        <fgColor indexed="65"/>
        <bgColor theme="2" tint="0.79995117038483843"/>
      </patternFill>
    </fill>
    <fill>
      <patternFill patternType="darkUp">
        <fgColor theme="2" tint="0.79998168889431442"/>
        <bgColor theme="0"/>
      </patternFill>
    </fill>
    <fill>
      <patternFill patternType="darkUp">
        <fgColor theme="2" tint="0.79998168889431442"/>
        <bgColor auto="1"/>
      </patternFill>
    </fill>
    <fill>
      <patternFill patternType="darkUp">
        <fgColor theme="2" tint="0.79995117038483843"/>
        <bgColor auto="1"/>
      </patternFill>
    </fill>
    <fill>
      <patternFill patternType="darkUp">
        <fgColor theme="2" tint="0.79995117038483843"/>
        <bgColor theme="0"/>
      </patternFill>
    </fill>
    <fill>
      <patternFill patternType="solid">
        <fgColor rgb="FFFFFF00"/>
        <bgColor indexed="64"/>
      </patternFill>
    </fill>
    <fill>
      <patternFill patternType="lightUp">
        <fgColor theme="2" tint="0.59996337778862885"/>
        <bgColor theme="0"/>
      </patternFill>
    </fill>
  </fills>
  <borders count="36">
    <border>
      <left/>
      <right/>
      <top/>
      <bottom/>
      <diagonal/>
    </border>
    <border>
      <left/>
      <right/>
      <top/>
      <bottom style="medium">
        <color theme="6"/>
      </bottom>
      <diagonal/>
    </border>
    <border>
      <left/>
      <right/>
      <top style="medium">
        <color theme="6"/>
      </top>
      <bottom style="medium">
        <color theme="6"/>
      </bottom>
      <diagonal/>
    </border>
    <border>
      <left/>
      <right/>
      <top style="thin">
        <color theme="6"/>
      </top>
      <bottom/>
      <diagonal/>
    </border>
    <border>
      <left/>
      <right/>
      <top style="medium">
        <color theme="6"/>
      </top>
      <bottom/>
      <diagonal/>
    </border>
    <border>
      <left/>
      <right/>
      <top style="medium">
        <color rgb="FFB9C9D0"/>
      </top>
      <bottom style="medium">
        <color rgb="FFB9C9D0"/>
      </bottom>
      <diagonal/>
    </border>
    <border>
      <left/>
      <right/>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5"/>
      </left>
      <right/>
      <top style="thin">
        <color theme="5"/>
      </top>
      <bottom/>
      <diagonal/>
    </border>
    <border>
      <left/>
      <right style="thin">
        <color theme="5"/>
      </right>
      <top style="thin">
        <color theme="5"/>
      </top>
      <bottom/>
      <diagonal/>
    </border>
    <border>
      <left style="thin">
        <color theme="5"/>
      </left>
      <right/>
      <top/>
      <bottom/>
      <diagonal/>
    </border>
    <border>
      <left/>
      <right style="thin">
        <color theme="5"/>
      </right>
      <top/>
      <bottom/>
      <diagonal/>
    </border>
    <border>
      <left style="thin">
        <color theme="5"/>
      </left>
      <right/>
      <top/>
      <bottom style="thin">
        <color theme="5"/>
      </bottom>
      <diagonal/>
    </border>
    <border>
      <left/>
      <right style="thin">
        <color theme="5"/>
      </right>
      <top/>
      <bottom style="thin">
        <color theme="5"/>
      </bottom>
      <diagonal/>
    </border>
    <border>
      <left style="medium">
        <color theme="0"/>
      </left>
      <right/>
      <top/>
      <bottom style="medium">
        <color theme="6"/>
      </bottom>
      <diagonal/>
    </border>
    <border>
      <left/>
      <right style="medium">
        <color theme="0"/>
      </right>
      <top/>
      <bottom/>
      <diagonal/>
    </border>
    <border>
      <left/>
      <right/>
      <top/>
      <bottom style="medium">
        <color rgb="FFB9C9D0"/>
      </bottom>
      <diagonal/>
    </border>
    <border>
      <left/>
      <right/>
      <top style="medium">
        <color rgb="FFB9C9D0"/>
      </top>
      <bottom/>
      <diagonal/>
    </border>
    <border>
      <left style="medium">
        <color rgb="FFB9C9D0"/>
      </left>
      <right style="medium">
        <color rgb="FFB9C9D0"/>
      </right>
      <top style="medium">
        <color rgb="FFB9C9D0"/>
      </top>
      <bottom/>
      <diagonal/>
    </border>
    <border>
      <left style="medium">
        <color rgb="FFB9C9D0"/>
      </left>
      <right style="medium">
        <color rgb="FFB9C9D0"/>
      </right>
      <top/>
      <bottom/>
      <diagonal/>
    </border>
    <border>
      <left style="medium">
        <color rgb="FFB9C9D0"/>
      </left>
      <right style="medium">
        <color rgb="FFB9C9D0"/>
      </right>
      <top/>
      <bottom style="medium">
        <color rgb="FFB9C9D0"/>
      </bottom>
      <diagonal/>
    </border>
    <border>
      <left style="dashed">
        <color theme="6"/>
      </left>
      <right/>
      <top/>
      <bottom/>
      <diagonal/>
    </border>
    <border>
      <left style="dashed">
        <color theme="6"/>
      </left>
      <right/>
      <top style="medium">
        <color rgb="FFB9C9D0"/>
      </top>
      <bottom style="medium">
        <color rgb="FFB9C9D0"/>
      </bottom>
      <diagonal/>
    </border>
    <border>
      <left/>
      <right style="dashed">
        <color theme="6"/>
      </right>
      <top/>
      <bottom/>
      <diagonal/>
    </border>
    <border>
      <left/>
      <right style="dashed">
        <color theme="6"/>
      </right>
      <top style="medium">
        <color rgb="FFB9C9D0"/>
      </top>
      <bottom style="medium">
        <color rgb="FFB9C9D0"/>
      </bottom>
      <diagonal/>
    </border>
    <border>
      <left/>
      <right/>
      <top/>
      <bottom style="mediumDashed">
        <color rgb="FFB9C9D0"/>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theme="8"/>
      </left>
      <right/>
      <top/>
      <bottom/>
      <diagonal/>
    </border>
    <border>
      <left/>
      <right style="medium">
        <color theme="8"/>
      </right>
      <top/>
      <bottom/>
      <diagonal/>
    </border>
    <border>
      <left/>
      <right/>
      <top style="medium">
        <color theme="6"/>
      </top>
      <bottom style="medium">
        <color rgb="FFB9C9D0"/>
      </bottom>
      <diagonal/>
    </border>
  </borders>
  <cellStyleXfs count="7">
    <xf numFmtId="0" fontId="0" fillId="0" borderId="0"/>
    <xf numFmtId="0" fontId="2" fillId="0" borderId="0"/>
    <xf numFmtId="0" fontId="7" fillId="0" borderId="0"/>
    <xf numFmtId="164" fontId="2" fillId="0" borderId="0" applyFont="0" applyFill="0" applyBorder="0" applyAlignment="0" applyProtection="0"/>
    <xf numFmtId="165" fontId="36" fillId="0" borderId="0" applyFont="0" applyFill="0" applyBorder="0" applyAlignment="0" applyProtection="0"/>
    <xf numFmtId="9" fontId="36" fillId="0" borderId="0" applyFont="0" applyFill="0" applyBorder="0" applyAlignment="0" applyProtection="0"/>
    <xf numFmtId="0" fontId="38" fillId="0" borderId="0" applyNumberFormat="0" applyFill="0" applyBorder="0" applyAlignment="0" applyProtection="0"/>
  </cellStyleXfs>
  <cellXfs count="616">
    <xf numFmtId="0" fontId="0" fillId="0" borderId="0" xfId="0"/>
    <xf numFmtId="3" fontId="3" fillId="2" borderId="0" xfId="0" applyNumberFormat="1" applyFont="1" applyFill="1" applyBorder="1"/>
    <xf numFmtId="0" fontId="4" fillId="2" borderId="0" xfId="0" applyFont="1" applyFill="1"/>
    <xf numFmtId="0" fontId="5" fillId="2" borderId="0" xfId="0" applyFont="1" applyFill="1"/>
    <xf numFmtId="0" fontId="7" fillId="2" borderId="0" xfId="0" applyFont="1" applyFill="1"/>
    <xf numFmtId="0" fontId="7" fillId="2" borderId="0" xfId="0" applyFont="1" applyFill="1" applyBorder="1"/>
    <xf numFmtId="0" fontId="12" fillId="2" borderId="0" xfId="0" applyFont="1" applyFill="1" applyBorder="1"/>
    <xf numFmtId="0" fontId="8" fillId="2" borderId="0" xfId="0" applyFont="1" applyFill="1" applyBorder="1" applyAlignment="1">
      <alignment horizontal="center" vertical="center"/>
    </xf>
    <xf numFmtId="0" fontId="8" fillId="2" borderId="0" xfId="0" applyFont="1" applyFill="1" applyBorder="1" applyAlignment="1">
      <alignment horizontal="center" vertical="center" wrapText="1"/>
    </xf>
    <xf numFmtId="0" fontId="14" fillId="2" borderId="0" xfId="0" applyFont="1" applyFill="1" applyBorder="1"/>
    <xf numFmtId="0" fontId="16" fillId="2" borderId="0" xfId="0" applyFont="1" applyFill="1"/>
    <xf numFmtId="0" fontId="17" fillId="2" borderId="0" xfId="0" applyFont="1" applyFill="1"/>
    <xf numFmtId="0" fontId="4" fillId="2" borderId="0" xfId="0" applyFont="1" applyFill="1" applyBorder="1"/>
    <xf numFmtId="0" fontId="4" fillId="0" borderId="0" xfId="0" applyFont="1" applyFill="1"/>
    <xf numFmtId="0" fontId="4" fillId="0" borderId="0" xfId="0" applyFont="1" applyFill="1" applyBorder="1"/>
    <xf numFmtId="0" fontId="4" fillId="0" borderId="0" xfId="0" applyFont="1"/>
    <xf numFmtId="0" fontId="4" fillId="0" borderId="0" xfId="0" applyFont="1" applyAlignment="1">
      <alignment horizontal="left"/>
    </xf>
    <xf numFmtId="0" fontId="13" fillId="5" borderId="7" xfId="0" applyFont="1" applyFill="1" applyBorder="1"/>
    <xf numFmtId="0" fontId="13" fillId="5" borderId="6" xfId="0" applyFont="1" applyFill="1" applyBorder="1"/>
    <xf numFmtId="0" fontId="13" fillId="5" borderId="8" xfId="0" applyFont="1" applyFill="1" applyBorder="1"/>
    <xf numFmtId="0" fontId="17" fillId="4" borderId="0" xfId="0" applyFont="1" applyFill="1"/>
    <xf numFmtId="0" fontId="17" fillId="4" borderId="6" xfId="0" applyFont="1" applyFill="1" applyBorder="1"/>
    <xf numFmtId="1" fontId="4" fillId="0" borderId="0" xfId="0" applyNumberFormat="1" applyFont="1"/>
    <xf numFmtId="0" fontId="0" fillId="0" borderId="0" xfId="0" pivotButton="1"/>
    <xf numFmtId="0" fontId="0" fillId="0" borderId="0" xfId="0" applyAlignment="1">
      <alignment horizontal="left"/>
    </xf>
    <xf numFmtId="0" fontId="0" fillId="0" borderId="0" xfId="0" applyNumberFormat="1"/>
    <xf numFmtId="0" fontId="23" fillId="2" borderId="0" xfId="0" applyFont="1" applyFill="1"/>
    <xf numFmtId="0" fontId="4" fillId="2" borderId="9" xfId="0" applyFont="1" applyFill="1" applyBorder="1"/>
    <xf numFmtId="0" fontId="4" fillId="0" borderId="10" xfId="0" applyFont="1" applyBorder="1" applyAlignment="1">
      <alignment horizontal="left"/>
    </xf>
    <xf numFmtId="0" fontId="4" fillId="2" borderId="11" xfId="0" applyFont="1" applyFill="1" applyBorder="1"/>
    <xf numFmtId="0" fontId="4" fillId="0" borderId="12" xfId="0" applyFont="1" applyBorder="1" applyAlignment="1">
      <alignment horizontal="left"/>
    </xf>
    <xf numFmtId="0" fontId="4" fillId="2" borderId="13" xfId="0" applyFont="1" applyFill="1" applyBorder="1"/>
    <xf numFmtId="0" fontId="4" fillId="0" borderId="14" xfId="0" applyFont="1" applyBorder="1" applyAlignment="1">
      <alignment horizontal="left"/>
    </xf>
    <xf numFmtId="0" fontId="4" fillId="6" borderId="0" xfId="0" applyFont="1" applyFill="1" applyAlignment="1">
      <alignment horizontal="left"/>
    </xf>
    <xf numFmtId="0" fontId="0" fillId="7" borderId="0" xfId="0" applyFill="1"/>
    <xf numFmtId="0" fontId="4" fillId="7" borderId="0" xfId="0" applyFont="1" applyFill="1"/>
    <xf numFmtId="0" fontId="7" fillId="7" borderId="0" xfId="0" applyFont="1" applyFill="1"/>
    <xf numFmtId="0" fontId="19" fillId="7" borderId="0" xfId="0" applyFont="1" applyFill="1" applyBorder="1" applyAlignment="1">
      <alignment horizontal="right"/>
    </xf>
    <xf numFmtId="0" fontId="22" fillId="7" borderId="0" xfId="0" applyFont="1" applyFill="1"/>
    <xf numFmtId="0" fontId="4" fillId="7" borderId="0" xfId="0" applyFont="1" applyFill="1" applyBorder="1"/>
    <xf numFmtId="0" fontId="18" fillId="7" borderId="0" xfId="0" applyFont="1" applyFill="1" applyBorder="1" applyAlignment="1"/>
    <xf numFmtId="0" fontId="4" fillId="0" borderId="0" xfId="0" applyFont="1" applyBorder="1"/>
    <xf numFmtId="0" fontId="25" fillId="2" borderId="0" xfId="0" applyFont="1" applyFill="1"/>
    <xf numFmtId="0" fontId="1" fillId="0" borderId="0" xfId="0" applyFont="1" applyFill="1" applyBorder="1"/>
    <xf numFmtId="0" fontId="3" fillId="2" borderId="0" xfId="0" applyFont="1" applyFill="1"/>
    <xf numFmtId="0" fontId="3" fillId="2" borderId="0" xfId="0" applyFont="1" applyFill="1" applyBorder="1"/>
    <xf numFmtId="0" fontId="0" fillId="0" borderId="0" xfId="0" applyBorder="1"/>
    <xf numFmtId="0" fontId="2" fillId="0" borderId="0" xfId="0" applyFont="1" applyFill="1" applyBorder="1"/>
    <xf numFmtId="0" fontId="12" fillId="0" borderId="0" xfId="0" applyFont="1"/>
    <xf numFmtId="0" fontId="12" fillId="0" borderId="0" xfId="0" applyFont="1" applyAlignment="1">
      <alignment wrapText="1"/>
    </xf>
    <xf numFmtId="0" fontId="3" fillId="0" borderId="0" xfId="0" applyFont="1"/>
    <xf numFmtId="171" fontId="3" fillId="0" borderId="0" xfId="0" applyNumberFormat="1" applyFont="1"/>
    <xf numFmtId="0" fontId="26" fillId="2" borderId="0" xfId="4" applyNumberFormat="1" applyFont="1" applyFill="1"/>
    <xf numFmtId="0" fontId="3" fillId="0" borderId="0" xfId="0" applyFont="1" applyBorder="1"/>
    <xf numFmtId="0" fontId="38" fillId="2" borderId="0" xfId="6" applyFill="1"/>
    <xf numFmtId="0" fontId="4" fillId="3" borderId="0" xfId="0" applyFont="1" applyFill="1"/>
    <xf numFmtId="0" fontId="3" fillId="0" borderId="0" xfId="0" applyFont="1" applyAlignment="1">
      <alignment horizontal="center"/>
    </xf>
    <xf numFmtId="0" fontId="27" fillId="0" borderId="0" xfId="0" applyFont="1"/>
    <xf numFmtId="0" fontId="40" fillId="2" borderId="2" xfId="0" applyFont="1" applyFill="1" applyBorder="1"/>
    <xf numFmtId="0" fontId="40" fillId="2" borderId="2" xfId="0" applyFont="1" applyFill="1" applyBorder="1" applyAlignment="1">
      <alignment horizontal="right"/>
    </xf>
    <xf numFmtId="0" fontId="41" fillId="2" borderId="0" xfId="0" applyFont="1" applyFill="1"/>
    <xf numFmtId="0" fontId="1" fillId="2" borderId="0" xfId="0" applyFont="1" applyFill="1" applyBorder="1" applyAlignment="1">
      <alignment horizontal="right"/>
    </xf>
    <xf numFmtId="0" fontId="1" fillId="2" borderId="0" xfId="0" applyFont="1" applyFill="1" applyBorder="1" applyAlignment="1">
      <alignment horizontal="right" wrapText="1"/>
    </xf>
    <xf numFmtId="3" fontId="26" fillId="2" borderId="5" xfId="0" applyNumberFormat="1" applyFont="1" applyFill="1" applyBorder="1"/>
    <xf numFmtId="0" fontId="26" fillId="2" borderId="5" xfId="0" applyFont="1" applyFill="1" applyBorder="1"/>
    <xf numFmtId="3" fontId="26" fillId="2" borderId="0" xfId="0" applyNumberFormat="1" applyFont="1" applyFill="1" applyBorder="1"/>
    <xf numFmtId="0" fontId="35" fillId="0" borderId="0" xfId="0" applyFont="1"/>
    <xf numFmtId="0" fontId="11" fillId="0" borderId="0" xfId="0" applyFont="1" applyBorder="1" applyAlignment="1">
      <alignment wrapText="1"/>
    </xf>
    <xf numFmtId="0" fontId="11" fillId="0" borderId="16" xfId="0" applyFont="1" applyBorder="1" applyAlignment="1">
      <alignment wrapText="1"/>
    </xf>
    <xf numFmtId="0" fontId="42" fillId="0" borderId="0" xfId="0" applyFont="1"/>
    <xf numFmtId="0" fontId="44" fillId="0" borderId="0" xfId="0" applyFont="1" applyBorder="1"/>
    <xf numFmtId="0" fontId="10" fillId="3" borderId="0" xfId="0" applyFont="1" applyFill="1" applyBorder="1" applyAlignment="1">
      <alignment horizontal="center"/>
    </xf>
    <xf numFmtId="0" fontId="26" fillId="0" borderId="5" xfId="0" applyFont="1" applyBorder="1"/>
    <xf numFmtId="0" fontId="40" fillId="3" borderId="2" xfId="0" applyFont="1" applyFill="1" applyBorder="1" applyAlignment="1">
      <alignment horizontal="center"/>
    </xf>
    <xf numFmtId="0" fontId="28" fillId="0" borderId="0" xfId="0" applyFont="1" applyBorder="1"/>
    <xf numFmtId="0" fontId="26" fillId="0" borderId="0" xfId="0" applyFont="1" applyBorder="1"/>
    <xf numFmtId="0" fontId="42" fillId="0" borderId="0" xfId="0" applyFont="1" applyFill="1"/>
    <xf numFmtId="0" fontId="10" fillId="0" borderId="1" xfId="0" applyFont="1" applyFill="1" applyBorder="1" applyAlignment="1">
      <alignment horizontal="center"/>
    </xf>
    <xf numFmtId="0" fontId="44" fillId="0" borderId="1" xfId="0" applyFont="1" applyFill="1" applyBorder="1"/>
    <xf numFmtId="0" fontId="44" fillId="0" borderId="0" xfId="0" applyFont="1" applyFill="1"/>
    <xf numFmtId="0" fontId="3" fillId="0" borderId="0" xfId="0" applyFont="1" applyFill="1" applyBorder="1"/>
    <xf numFmtId="0" fontId="26" fillId="0" borderId="5" xfId="0" applyFont="1" applyFill="1" applyBorder="1"/>
    <xf numFmtId="0" fontId="40" fillId="0" borderId="2" xfId="0" applyFont="1" applyFill="1" applyBorder="1" applyAlignment="1">
      <alignment horizontal="center"/>
    </xf>
    <xf numFmtId="0" fontId="10" fillId="0" borderId="0" xfId="0" applyFont="1" applyFill="1" applyBorder="1" applyAlignment="1">
      <alignment horizontal="center"/>
    </xf>
    <xf numFmtId="0" fontId="26" fillId="0" borderId="0" xfId="0" applyFont="1" applyFill="1" applyBorder="1"/>
    <xf numFmtId="0" fontId="33" fillId="0" borderId="0" xfId="0" applyFont="1"/>
    <xf numFmtId="0" fontId="45" fillId="0" borderId="2" xfId="0" applyFont="1" applyFill="1" applyBorder="1"/>
    <xf numFmtId="0" fontId="15" fillId="0" borderId="0" xfId="0" applyFont="1" applyFill="1" applyBorder="1"/>
    <xf numFmtId="0" fontId="10" fillId="0" borderId="0" xfId="0" applyFont="1"/>
    <xf numFmtId="0" fontId="3" fillId="0" borderId="17" xfId="0" applyFont="1" applyBorder="1"/>
    <xf numFmtId="0" fontId="33" fillId="0" borderId="0" xfId="0" applyFont="1" applyFill="1"/>
    <xf numFmtId="172" fontId="3" fillId="0" borderId="0" xfId="0" applyNumberFormat="1" applyFont="1" applyFill="1" applyBorder="1"/>
    <xf numFmtId="172" fontId="3" fillId="3" borderId="0" xfId="0" applyNumberFormat="1" applyFont="1" applyFill="1" applyBorder="1"/>
    <xf numFmtId="172" fontId="15" fillId="0" borderId="0" xfId="0" applyNumberFormat="1" applyFont="1" applyFill="1" applyBorder="1"/>
    <xf numFmtId="172" fontId="15" fillId="3" borderId="0" xfId="0" applyNumberFormat="1" applyFont="1" applyFill="1" applyBorder="1"/>
    <xf numFmtId="172" fontId="4" fillId="0" borderId="0" xfId="0" applyNumberFormat="1" applyFont="1" applyFill="1" applyBorder="1"/>
    <xf numFmtId="172" fontId="26" fillId="0" borderId="5" xfId="0" applyNumberFormat="1" applyFont="1" applyFill="1" applyBorder="1"/>
    <xf numFmtId="172" fontId="26" fillId="3" borderId="5" xfId="0" applyNumberFormat="1" applyFont="1" applyFill="1" applyBorder="1"/>
    <xf numFmtId="172" fontId="28" fillId="0" borderId="0" xfId="0" applyNumberFormat="1" applyFont="1" applyFill="1" applyBorder="1"/>
    <xf numFmtId="172" fontId="28" fillId="3" borderId="0" xfId="0" applyNumberFormat="1" applyFont="1" applyFill="1" applyBorder="1"/>
    <xf numFmtId="172" fontId="26" fillId="0" borderId="0" xfId="0" applyNumberFormat="1" applyFont="1" applyFill="1" applyBorder="1"/>
    <xf numFmtId="172" fontId="26" fillId="3" borderId="0" xfId="0" applyNumberFormat="1" applyFont="1" applyFill="1" applyBorder="1"/>
    <xf numFmtId="172" fontId="3" fillId="0" borderId="0" xfId="0" applyNumberFormat="1" applyFont="1" applyBorder="1"/>
    <xf numFmtId="172" fontId="3" fillId="0" borderId="17" xfId="0" applyNumberFormat="1" applyFont="1" applyBorder="1"/>
    <xf numFmtId="172" fontId="3" fillId="3" borderId="17" xfId="0" applyNumberFormat="1" applyFont="1" applyFill="1" applyBorder="1"/>
    <xf numFmtId="0" fontId="3" fillId="0" borderId="0" xfId="0" applyFont="1" applyFill="1"/>
    <xf numFmtId="0" fontId="26" fillId="0" borderId="3" xfId="0" applyFont="1" applyFill="1" applyBorder="1"/>
    <xf numFmtId="0" fontId="16" fillId="0" borderId="0" xfId="0" applyFont="1" applyFill="1"/>
    <xf numFmtId="0" fontId="15" fillId="0" borderId="0" xfId="0" applyFont="1" applyFill="1"/>
    <xf numFmtId="3" fontId="33" fillId="0" borderId="0" xfId="0" quotePrefix="1" applyNumberFormat="1" applyFont="1" applyFill="1"/>
    <xf numFmtId="0" fontId="6" fillId="0" borderId="0" xfId="0" applyFont="1" applyFill="1" applyBorder="1"/>
    <xf numFmtId="0" fontId="11" fillId="0" borderId="0" xfId="0" applyFont="1" applyFill="1" applyBorder="1" applyAlignment="1">
      <alignment horizontal="center"/>
    </xf>
    <xf numFmtId="0" fontId="11" fillId="0" borderId="0" xfId="0" applyFont="1" applyFill="1" applyBorder="1" applyAlignment="1">
      <alignment horizontal="center" wrapText="1"/>
    </xf>
    <xf numFmtId="0" fontId="40" fillId="0" borderId="2" xfId="0" applyFont="1" applyFill="1" applyBorder="1" applyAlignment="1">
      <alignment horizontal="left"/>
    </xf>
    <xf numFmtId="0" fontId="40" fillId="0" borderId="2" xfId="0" applyFont="1" applyFill="1" applyBorder="1"/>
    <xf numFmtId="0" fontId="40" fillId="0" borderId="5" xfId="0" applyFont="1" applyFill="1" applyBorder="1"/>
    <xf numFmtId="173" fontId="3" fillId="0" borderId="0" xfId="0" applyNumberFormat="1" applyFont="1" applyFill="1"/>
    <xf numFmtId="173" fontId="3" fillId="8" borderId="0" xfId="0" applyNumberFormat="1" applyFont="1" applyFill="1"/>
    <xf numFmtId="173" fontId="3" fillId="9" borderId="0" xfId="0" applyNumberFormat="1" applyFont="1" applyFill="1"/>
    <xf numFmtId="173" fontId="26" fillId="8" borderId="5" xfId="0" applyNumberFormat="1" applyFont="1" applyFill="1" applyBorder="1"/>
    <xf numFmtId="173" fontId="26" fillId="0" borderId="5" xfId="0" applyNumberFormat="1" applyFont="1" applyFill="1" applyBorder="1"/>
    <xf numFmtId="173" fontId="26" fillId="0" borderId="0" xfId="0" applyNumberFormat="1" applyFont="1" applyFill="1" applyBorder="1"/>
    <xf numFmtId="173" fontId="15" fillId="0" borderId="0" xfId="0" applyNumberFormat="1" applyFont="1" applyFill="1"/>
    <xf numFmtId="173" fontId="26" fillId="9" borderId="5" xfId="0" applyNumberFormat="1" applyFont="1" applyFill="1" applyBorder="1"/>
    <xf numFmtId="173" fontId="26" fillId="0" borderId="3" xfId="0" applyNumberFormat="1" applyFont="1" applyFill="1" applyBorder="1"/>
    <xf numFmtId="173" fontId="4" fillId="0" borderId="0" xfId="0" applyNumberFormat="1" applyFont="1" applyFill="1"/>
    <xf numFmtId="173" fontId="40" fillId="0" borderId="5" xfId="0" applyNumberFormat="1" applyFont="1" applyFill="1" applyBorder="1"/>
    <xf numFmtId="173" fontId="50" fillId="0" borderId="0" xfId="0" applyNumberFormat="1" applyFont="1" applyFill="1"/>
    <xf numFmtId="172" fontId="50" fillId="0" borderId="0" xfId="0" applyNumberFormat="1" applyFont="1" applyFill="1" applyBorder="1"/>
    <xf numFmtId="172" fontId="50" fillId="3" borderId="0" xfId="0" applyNumberFormat="1" applyFont="1" applyFill="1" applyBorder="1"/>
    <xf numFmtId="172" fontId="50" fillId="0" borderId="0" xfId="0" applyNumberFormat="1" applyFont="1" applyBorder="1"/>
    <xf numFmtId="3" fontId="3" fillId="0" borderId="0" xfId="0" applyNumberFormat="1" applyFont="1" applyFill="1" applyBorder="1"/>
    <xf numFmtId="3" fontId="28" fillId="0" borderId="0" xfId="0" applyNumberFormat="1" applyFont="1" applyFill="1" applyBorder="1"/>
    <xf numFmtId="166" fontId="28" fillId="0" borderId="0" xfId="0" applyNumberFormat="1" applyFont="1" applyFill="1" applyBorder="1" applyAlignment="1">
      <alignment horizontal="left"/>
    </xf>
    <xf numFmtId="0" fontId="28" fillId="0" borderId="0" xfId="0" quotePrefix="1" applyFont="1" applyFill="1" applyBorder="1"/>
    <xf numFmtId="3" fontId="3" fillId="0" borderId="0" xfId="0" applyNumberFormat="1" applyFont="1" applyFill="1" applyBorder="1" applyAlignment="1">
      <alignment horizontal="left"/>
    </xf>
    <xf numFmtId="3" fontId="33" fillId="0" borderId="0" xfId="0" quotePrefix="1" applyNumberFormat="1" applyFont="1" applyFill="1" applyAlignment="1"/>
    <xf numFmtId="3" fontId="26" fillId="0" borderId="0" xfId="0" applyNumberFormat="1" applyFont="1" applyFill="1" applyBorder="1"/>
    <xf numFmtId="3" fontId="3" fillId="0" borderId="0" xfId="0" applyNumberFormat="1" applyFont="1" applyFill="1" applyBorder="1" applyAlignment="1">
      <alignment wrapText="1"/>
    </xf>
    <xf numFmtId="0" fontId="9" fillId="0" borderId="0" xfId="0" applyFont="1" applyFill="1" applyBorder="1" applyAlignment="1"/>
    <xf numFmtId="0" fontId="40" fillId="0" borderId="2" xfId="0" applyFont="1" applyFill="1" applyBorder="1" applyAlignment="1">
      <alignment horizontal="center" wrapText="1"/>
    </xf>
    <xf numFmtId="0" fontId="40" fillId="0" borderId="0" xfId="0" applyFont="1" applyFill="1" applyBorder="1"/>
    <xf numFmtId="0" fontId="40" fillId="0" borderId="0" xfId="0" applyFont="1" applyFill="1" applyBorder="1" applyAlignment="1">
      <alignment horizontal="center"/>
    </xf>
    <xf numFmtId="0" fontId="40" fillId="0" borderId="0" xfId="0" applyFont="1" applyFill="1" applyBorder="1" applyAlignment="1">
      <alignment horizontal="center" wrapText="1"/>
    </xf>
    <xf numFmtId="0" fontId="3" fillId="0" borderId="18" xfId="0" applyFont="1" applyFill="1" applyBorder="1"/>
    <xf numFmtId="3" fontId="26" fillId="0" borderId="5" xfId="0" applyNumberFormat="1" applyFont="1" applyFill="1" applyBorder="1"/>
    <xf numFmtId="173" fontId="3" fillId="0" borderId="0" xfId="0" applyNumberFormat="1" applyFont="1" applyFill="1" applyBorder="1"/>
    <xf numFmtId="173" fontId="12" fillId="0" borderId="0" xfId="0" applyNumberFormat="1" applyFont="1" applyFill="1"/>
    <xf numFmtId="173" fontId="3" fillId="0" borderId="18" xfId="0" applyNumberFormat="1" applyFont="1" applyFill="1" applyBorder="1"/>
    <xf numFmtId="173" fontId="3" fillId="8" borderId="0" xfId="0" applyNumberFormat="1" applyFont="1" applyFill="1" applyBorder="1"/>
    <xf numFmtId="173" fontId="50" fillId="0" borderId="0" xfId="0" applyNumberFormat="1" applyFont="1" applyFill="1" applyBorder="1"/>
    <xf numFmtId="173" fontId="50" fillId="0" borderId="18" xfId="0" applyNumberFormat="1" applyFont="1" applyFill="1" applyBorder="1"/>
    <xf numFmtId="173" fontId="51" fillId="0" borderId="5" xfId="0" applyNumberFormat="1" applyFont="1" applyFill="1" applyBorder="1"/>
    <xf numFmtId="173" fontId="26" fillId="2" borderId="5" xfId="0" applyNumberFormat="1" applyFont="1" applyFill="1" applyBorder="1"/>
    <xf numFmtId="173" fontId="3" fillId="2" borderId="0" xfId="0" applyNumberFormat="1" applyFont="1" applyFill="1" applyBorder="1"/>
    <xf numFmtId="173" fontId="50" fillId="2" borderId="0" xfId="0" applyNumberFormat="1" applyFont="1" applyFill="1" applyBorder="1"/>
    <xf numFmtId="173" fontId="51" fillId="2" borderId="5" xfId="0" applyNumberFormat="1" applyFont="1" applyFill="1" applyBorder="1"/>
    <xf numFmtId="173" fontId="50" fillId="8" borderId="0" xfId="0" applyNumberFormat="1" applyFont="1" applyFill="1"/>
    <xf numFmtId="173" fontId="50" fillId="8" borderId="0" xfId="0" applyNumberFormat="1" applyFont="1" applyFill="1" applyBorder="1"/>
    <xf numFmtId="0" fontId="39" fillId="0" borderId="0" xfId="0" applyFont="1"/>
    <xf numFmtId="0" fontId="2" fillId="0" borderId="0" xfId="0" applyNumberFormat="1" applyFont="1" applyFill="1" applyBorder="1" applyAlignment="1">
      <alignment horizontal="center" vertical="center" wrapText="1"/>
    </xf>
    <xf numFmtId="0" fontId="9" fillId="0" borderId="0" xfId="0" applyFont="1" applyFill="1"/>
    <xf numFmtId="0" fontId="9" fillId="0" borderId="0" xfId="0" applyFont="1" applyFill="1" applyBorder="1"/>
    <xf numFmtId="0" fontId="40" fillId="0" borderId="2" xfId="0" applyNumberFormat="1" applyFont="1" applyFill="1" applyBorder="1" applyAlignment="1">
      <alignment horizontal="center" vertical="center" wrapText="1"/>
    </xf>
    <xf numFmtId="0" fontId="12" fillId="0" borderId="0" xfId="0" applyFont="1" applyFill="1"/>
    <xf numFmtId="0" fontId="12" fillId="0" borderId="0" xfId="0" applyFont="1" applyFill="1" applyBorder="1"/>
    <xf numFmtId="0" fontId="28" fillId="0" borderId="0" xfId="0" applyFont="1" applyFill="1" applyBorder="1"/>
    <xf numFmtId="0" fontId="3" fillId="0" borderId="0" xfId="0" applyNumberFormat="1" applyFont="1" applyFill="1" applyBorder="1" applyAlignment="1">
      <alignment horizontal="center" vertical="center" wrapText="1"/>
    </xf>
    <xf numFmtId="0" fontId="26" fillId="0" borderId="18" xfId="0" applyFont="1" applyFill="1" applyBorder="1"/>
    <xf numFmtId="0" fontId="26" fillId="0" borderId="17" xfId="0" applyFont="1" applyFill="1" applyBorder="1"/>
    <xf numFmtId="0" fontId="3" fillId="0" borderId="17" xfId="0" applyFont="1" applyFill="1" applyBorder="1"/>
    <xf numFmtId="0" fontId="10" fillId="0" borderId="1" xfId="0" applyFont="1" applyFill="1" applyBorder="1" applyAlignment="1">
      <alignment horizontal="center"/>
    </xf>
    <xf numFmtId="0" fontId="10" fillId="0" borderId="1" xfId="0" applyFont="1" applyFill="1" applyBorder="1" applyAlignment="1">
      <alignment horizontal="center"/>
    </xf>
    <xf numFmtId="173" fontId="3" fillId="3" borderId="0" xfId="0" applyNumberFormat="1" applyFont="1" applyFill="1" applyBorder="1"/>
    <xf numFmtId="173" fontId="3" fillId="0" borderId="17" xfId="0" applyNumberFormat="1" applyFont="1" applyFill="1" applyBorder="1"/>
    <xf numFmtId="173" fontId="26" fillId="3" borderId="5" xfId="0" applyNumberFormat="1" applyFont="1" applyFill="1" applyBorder="1"/>
    <xf numFmtId="0" fontId="28" fillId="0" borderId="17" xfId="0" applyFont="1" applyFill="1" applyBorder="1"/>
    <xf numFmtId="173" fontId="26" fillId="0" borderId="18" xfId="0" applyNumberFormat="1" applyFont="1" applyFill="1" applyBorder="1"/>
    <xf numFmtId="173" fontId="26" fillId="0" borderId="17" xfId="0" applyNumberFormat="1" applyFont="1" applyFill="1" applyBorder="1"/>
    <xf numFmtId="0" fontId="3" fillId="0" borderId="0" xfId="0" applyFont="1" applyFill="1" applyBorder="1" applyAlignment="1">
      <alignment vertical="center"/>
    </xf>
    <xf numFmtId="0" fontId="3" fillId="0" borderId="4" xfId="0" applyFont="1" applyFill="1" applyBorder="1"/>
    <xf numFmtId="173" fontId="3" fillId="11" borderId="0" xfId="0" applyNumberFormat="1" applyFont="1" applyFill="1" applyBorder="1"/>
    <xf numFmtId="173" fontId="3" fillId="11" borderId="18" xfId="0" applyNumberFormat="1" applyFont="1" applyFill="1" applyBorder="1"/>
    <xf numFmtId="173" fontId="3" fillId="11" borderId="17" xfId="0" applyNumberFormat="1" applyFont="1" applyFill="1" applyBorder="1"/>
    <xf numFmtId="173" fontId="26" fillId="11" borderId="0" xfId="0" applyNumberFormat="1" applyFont="1" applyFill="1" applyBorder="1"/>
    <xf numFmtId="173" fontId="51" fillId="0" borderId="18" xfId="0" applyNumberFormat="1" applyFont="1" applyFill="1" applyBorder="1"/>
    <xf numFmtId="173" fontId="51" fillId="0" borderId="17" xfId="0" applyNumberFormat="1" applyFont="1" applyFill="1" applyBorder="1"/>
    <xf numFmtId="0" fontId="3" fillId="0" borderId="17" xfId="0" applyFont="1" applyFill="1" applyBorder="1" applyAlignment="1">
      <alignment wrapText="1"/>
    </xf>
    <xf numFmtId="0" fontId="40" fillId="0" borderId="2" xfId="0" applyFont="1" applyBorder="1"/>
    <xf numFmtId="0" fontId="9" fillId="0" borderId="0" xfId="0" applyFont="1"/>
    <xf numFmtId="0" fontId="26" fillId="0" borderId="0" xfId="0" applyFont="1" applyFill="1" applyBorder="1" applyAlignment="1">
      <alignment horizontal="center"/>
    </xf>
    <xf numFmtId="0" fontId="26" fillId="2" borderId="0" xfId="0" applyFont="1" applyFill="1" applyBorder="1"/>
    <xf numFmtId="0" fontId="40" fillId="3" borderId="2" xfId="0" applyFont="1" applyFill="1" applyBorder="1" applyAlignment="1">
      <alignment horizontal="center" vertical="center"/>
    </xf>
    <xf numFmtId="0" fontId="26" fillId="3" borderId="0" xfId="0" applyFont="1" applyFill="1" applyBorder="1" applyAlignment="1">
      <alignment horizontal="center"/>
    </xf>
    <xf numFmtId="173" fontId="3" fillId="3" borderId="5" xfId="0" applyNumberFormat="1" applyFont="1" applyFill="1" applyBorder="1"/>
    <xf numFmtId="173" fontId="50" fillId="10" borderId="0" xfId="0" applyNumberFormat="1" applyFont="1" applyFill="1" applyBorder="1"/>
    <xf numFmtId="173" fontId="50" fillId="3" borderId="0" xfId="0" applyNumberFormat="1" applyFont="1" applyFill="1" applyBorder="1"/>
    <xf numFmtId="173" fontId="51" fillId="3" borderId="5" xfId="0" applyNumberFormat="1" applyFont="1" applyFill="1" applyBorder="1"/>
    <xf numFmtId="173" fontId="3" fillId="2" borderId="0" xfId="0" applyNumberFormat="1" applyFont="1" applyFill="1"/>
    <xf numFmtId="0" fontId="9" fillId="0" borderId="0" xfId="0" applyFont="1" applyBorder="1"/>
    <xf numFmtId="0" fontId="40" fillId="0" borderId="0" xfId="0" applyFont="1" applyBorder="1"/>
    <xf numFmtId="0" fontId="40" fillId="3" borderId="0" xfId="0" applyFont="1" applyFill="1" applyBorder="1" applyAlignment="1">
      <alignment horizontal="center"/>
    </xf>
    <xf numFmtId="0" fontId="40" fillId="3" borderId="0" xfId="0" applyFont="1" applyFill="1" applyBorder="1" applyAlignment="1">
      <alignment horizontal="center" vertical="center"/>
    </xf>
    <xf numFmtId="0" fontId="3" fillId="2" borderId="18" xfId="0" applyFont="1" applyFill="1" applyBorder="1"/>
    <xf numFmtId="0" fontId="3" fillId="2" borderId="17" xfId="0" applyFont="1" applyFill="1" applyBorder="1"/>
    <xf numFmtId="0" fontId="3" fillId="2" borderId="5" xfId="0" applyFont="1" applyFill="1" applyBorder="1"/>
    <xf numFmtId="0" fontId="40" fillId="0" borderId="0" xfId="0" applyFont="1" applyFill="1" applyBorder="1" applyAlignment="1">
      <alignment horizontal="center" vertical="center"/>
    </xf>
    <xf numFmtId="173" fontId="3" fillId="2" borderId="18" xfId="0" applyNumberFormat="1" applyFont="1" applyFill="1" applyBorder="1"/>
    <xf numFmtId="173" fontId="3" fillId="3" borderId="18" xfId="0" applyNumberFormat="1" applyFont="1" applyFill="1" applyBorder="1"/>
    <xf numFmtId="173" fontId="3" fillId="2" borderId="17" xfId="0" applyNumberFormat="1" applyFont="1" applyFill="1" applyBorder="1"/>
    <xf numFmtId="173" fontId="3" fillId="3" borderId="17" xfId="0" applyNumberFormat="1" applyFont="1" applyFill="1" applyBorder="1"/>
    <xf numFmtId="173" fontId="3" fillId="2" borderId="5" xfId="0" applyNumberFormat="1" applyFont="1" applyFill="1" applyBorder="1"/>
    <xf numFmtId="173" fontId="3" fillId="10" borderId="5" xfId="0" applyNumberFormat="1" applyFont="1" applyFill="1" applyBorder="1"/>
    <xf numFmtId="0" fontId="40" fillId="2" borderId="0" xfId="0" applyFont="1" applyFill="1" applyBorder="1"/>
    <xf numFmtId="0" fontId="26" fillId="2" borderId="18" xfId="0" applyFont="1" applyFill="1" applyBorder="1"/>
    <xf numFmtId="0" fontId="26" fillId="2" borderId="17" xfId="0" applyFont="1" applyFill="1" applyBorder="1"/>
    <xf numFmtId="173" fontId="3" fillId="3" borderId="0" xfId="0" applyNumberFormat="1" applyFont="1" applyFill="1" applyBorder="1" applyAlignment="1">
      <alignment horizontal="right"/>
    </xf>
    <xf numFmtId="173" fontId="3" fillId="3" borderId="18" xfId="0" applyNumberFormat="1" applyFont="1" applyFill="1" applyBorder="1" applyAlignment="1">
      <alignment horizontal="right"/>
    </xf>
    <xf numFmtId="173" fontId="26" fillId="3" borderId="17" xfId="0" applyNumberFormat="1" applyFont="1" applyFill="1" applyBorder="1"/>
    <xf numFmtId="173" fontId="26" fillId="3" borderId="18" xfId="0" applyNumberFormat="1" applyFont="1" applyFill="1" applyBorder="1"/>
    <xf numFmtId="173" fontId="3" fillId="8" borderId="0" xfId="0" applyNumberFormat="1" applyFont="1" applyFill="1" applyBorder="1" applyAlignment="1">
      <alignment horizontal="right"/>
    </xf>
    <xf numFmtId="173" fontId="26" fillId="8" borderId="5" xfId="0" applyNumberFormat="1" applyFont="1" applyFill="1" applyBorder="1" applyAlignment="1">
      <alignment horizontal="right"/>
    </xf>
    <xf numFmtId="173" fontId="3" fillId="8" borderId="18" xfId="0" applyNumberFormat="1" applyFont="1" applyFill="1" applyBorder="1" applyAlignment="1">
      <alignment horizontal="right"/>
    </xf>
    <xf numFmtId="173" fontId="3" fillId="8" borderId="17" xfId="0" applyNumberFormat="1" applyFont="1" applyFill="1" applyBorder="1" applyAlignment="1">
      <alignment horizontal="right"/>
    </xf>
    <xf numFmtId="173" fontId="26" fillId="8" borderId="18" xfId="0" applyNumberFormat="1" applyFont="1" applyFill="1" applyBorder="1"/>
    <xf numFmtId="0" fontId="40" fillId="2" borderId="2" xfId="0" applyFont="1" applyFill="1" applyBorder="1" applyAlignment="1">
      <alignment horizontal="center"/>
    </xf>
    <xf numFmtId="0" fontId="40" fillId="2" borderId="0" xfId="0" applyFont="1" applyFill="1" applyBorder="1" applyAlignment="1">
      <alignment horizontal="center"/>
    </xf>
    <xf numFmtId="173" fontId="26" fillId="2" borderId="18" xfId="0" applyNumberFormat="1" applyFont="1" applyFill="1" applyBorder="1"/>
    <xf numFmtId="173" fontId="26" fillId="2" borderId="17" xfId="0" applyNumberFormat="1" applyFont="1" applyFill="1" applyBorder="1"/>
    <xf numFmtId="173" fontId="3" fillId="2" borderId="0" xfId="0" applyNumberFormat="1" applyFont="1" applyFill="1" applyBorder="1" applyAlignment="1">
      <alignment horizontal="right"/>
    </xf>
    <xf numFmtId="173" fontId="3" fillId="2" borderId="18" xfId="0" applyNumberFormat="1" applyFont="1" applyFill="1" applyBorder="1" applyAlignment="1">
      <alignment horizontal="right"/>
    </xf>
    <xf numFmtId="0" fontId="10" fillId="2" borderId="0" xfId="0" applyFont="1" applyFill="1" applyBorder="1"/>
    <xf numFmtId="173" fontId="50" fillId="2" borderId="17" xfId="0" applyNumberFormat="1" applyFont="1" applyFill="1" applyBorder="1"/>
    <xf numFmtId="173" fontId="50" fillId="3" borderId="17" xfId="0" applyNumberFormat="1" applyFont="1" applyFill="1" applyBorder="1"/>
    <xf numFmtId="173" fontId="51" fillId="2" borderId="18" xfId="0" applyNumberFormat="1" applyFont="1" applyFill="1" applyBorder="1"/>
    <xf numFmtId="173" fontId="50" fillId="3" borderId="18" xfId="0" applyNumberFormat="1" applyFont="1" applyFill="1" applyBorder="1"/>
    <xf numFmtId="173" fontId="3" fillId="10" borderId="0" xfId="0" applyNumberFormat="1" applyFont="1" applyFill="1" applyBorder="1"/>
    <xf numFmtId="173" fontId="26" fillId="10" borderId="5" xfId="0" applyNumberFormat="1" applyFont="1" applyFill="1" applyBorder="1"/>
    <xf numFmtId="173" fontId="3" fillId="10" borderId="18" xfId="0" applyNumberFormat="1" applyFont="1" applyFill="1" applyBorder="1"/>
    <xf numFmtId="173" fontId="3" fillId="10" borderId="17" xfId="0" applyNumberFormat="1" applyFont="1" applyFill="1" applyBorder="1"/>
    <xf numFmtId="173" fontId="3" fillId="3" borderId="0" xfId="0" applyNumberFormat="1" applyFont="1" applyFill="1"/>
    <xf numFmtId="173" fontId="3" fillId="12" borderId="0" xfId="0" applyNumberFormat="1" applyFont="1" applyFill="1" applyBorder="1" applyAlignment="1">
      <alignment horizontal="right"/>
    </xf>
    <xf numFmtId="173" fontId="3" fillId="12" borderId="0" xfId="0" applyNumberFormat="1" applyFont="1" applyFill="1"/>
    <xf numFmtId="173" fontId="26" fillId="12" borderId="5" xfId="0" applyNumberFormat="1" applyFont="1" applyFill="1" applyBorder="1" applyAlignment="1">
      <alignment horizontal="right"/>
    </xf>
    <xf numFmtId="173" fontId="26" fillId="12" borderId="5" xfId="0" applyNumberFormat="1" applyFont="1" applyFill="1" applyBorder="1"/>
    <xf numFmtId="173" fontId="3" fillId="12" borderId="18" xfId="0" applyNumberFormat="1" applyFont="1" applyFill="1" applyBorder="1" applyAlignment="1">
      <alignment horizontal="right"/>
    </xf>
    <xf numFmtId="173" fontId="3" fillId="12" borderId="18" xfId="0" applyNumberFormat="1" applyFont="1" applyFill="1" applyBorder="1"/>
    <xf numFmtId="173" fontId="3" fillId="12" borderId="17" xfId="0" applyNumberFormat="1" applyFont="1" applyFill="1" applyBorder="1" applyAlignment="1">
      <alignment horizontal="right"/>
    </xf>
    <xf numFmtId="173" fontId="3" fillId="12" borderId="17" xfId="0" applyNumberFormat="1" applyFont="1" applyFill="1" applyBorder="1"/>
    <xf numFmtId="173" fontId="50" fillId="2" borderId="5" xfId="0" applyNumberFormat="1" applyFont="1" applyFill="1" applyBorder="1"/>
    <xf numFmtId="173" fontId="50" fillId="2" borderId="0" xfId="0" applyNumberFormat="1" applyFont="1" applyFill="1"/>
    <xf numFmtId="173" fontId="50" fillId="3" borderId="0" xfId="0" applyNumberFormat="1" applyFont="1" applyFill="1"/>
    <xf numFmtId="173" fontId="50" fillId="2" borderId="0" xfId="0" applyNumberFormat="1" applyFont="1" applyFill="1" applyBorder="1" applyAlignment="1">
      <alignment horizontal="right"/>
    </xf>
    <xf numFmtId="168" fontId="12" fillId="0" borderId="0" xfId="0" applyNumberFormat="1" applyFont="1" applyFill="1" applyBorder="1"/>
    <xf numFmtId="0" fontId="26" fillId="0" borderId="0" xfId="0" applyNumberFormat="1" applyFont="1" applyFill="1" applyBorder="1" applyAlignment="1">
      <alignment horizontal="center" vertical="center" wrapText="1"/>
    </xf>
    <xf numFmtId="1" fontId="12" fillId="0" borderId="0" xfId="0" applyNumberFormat="1" applyFont="1" applyFill="1"/>
    <xf numFmtId="2" fontId="12" fillId="0" borderId="0" xfId="0" applyNumberFormat="1" applyFont="1" applyFill="1"/>
    <xf numFmtId="168" fontId="3" fillId="0" borderId="0" xfId="0" applyNumberFormat="1" applyFont="1" applyFill="1" applyBorder="1"/>
    <xf numFmtId="0" fontId="40" fillId="0" borderId="4" xfId="0" applyFont="1" applyFill="1" applyBorder="1"/>
    <xf numFmtId="0" fontId="40" fillId="0" borderId="4" xfId="0" applyNumberFormat="1" applyFont="1" applyFill="1" applyBorder="1" applyAlignment="1">
      <alignment horizontal="center" vertical="center" wrapText="1"/>
    </xf>
    <xf numFmtId="169" fontId="3" fillId="2" borderId="0" xfId="0" applyNumberFormat="1" applyFont="1" applyFill="1"/>
    <xf numFmtId="173" fontId="26" fillId="2" borderId="0" xfId="0" applyNumberFormat="1" applyFont="1" applyFill="1" applyBorder="1"/>
    <xf numFmtId="0" fontId="53" fillId="0" borderId="1" xfId="0" applyFont="1" applyBorder="1" applyAlignment="1">
      <alignment wrapText="1"/>
    </xf>
    <xf numFmtId="0" fontId="37" fillId="0" borderId="4" xfId="0" applyFont="1" applyBorder="1" applyAlignment="1">
      <alignment wrapText="1"/>
    </xf>
    <xf numFmtId="0" fontId="11" fillId="0" borderId="4" xfId="0" applyFont="1" applyBorder="1" applyAlignment="1">
      <alignment horizontal="center" wrapText="1"/>
    </xf>
    <xf numFmtId="172" fontId="26" fillId="2" borderId="5" xfId="4" applyNumberFormat="1" applyFont="1" applyFill="1" applyBorder="1" applyAlignment="1">
      <alignment vertical="center"/>
    </xf>
    <xf numFmtId="172" fontId="26" fillId="3" borderId="5" xfId="4" applyNumberFormat="1" applyFont="1" applyFill="1" applyBorder="1" applyAlignment="1">
      <alignment vertical="center"/>
    </xf>
    <xf numFmtId="172" fontId="26" fillId="2" borderId="0" xfId="4" applyNumberFormat="1" applyFont="1" applyFill="1" applyBorder="1" applyAlignment="1">
      <alignment vertical="center"/>
    </xf>
    <xf numFmtId="172" fontId="26" fillId="3" borderId="0" xfId="4" applyNumberFormat="1" applyFont="1" applyFill="1" applyBorder="1" applyAlignment="1">
      <alignment vertical="center"/>
    </xf>
    <xf numFmtId="172" fontId="3" fillId="0" borderId="0" xfId="4" applyNumberFormat="1" applyFont="1" applyBorder="1" applyAlignment="1">
      <alignment vertical="center"/>
    </xf>
    <xf numFmtId="172" fontId="3" fillId="0" borderId="0" xfId="0" applyNumberFormat="1" applyFont="1" applyBorder="1" applyAlignment="1">
      <alignment vertical="center"/>
    </xf>
    <xf numFmtId="172" fontId="12" fillId="0" borderId="0" xfId="0" applyNumberFormat="1" applyFont="1" applyBorder="1" applyAlignment="1">
      <alignment vertical="center"/>
    </xf>
    <xf numFmtId="172" fontId="3" fillId="2" borderId="0" xfId="0" applyNumberFormat="1" applyFont="1" applyFill="1" applyBorder="1" applyAlignment="1">
      <alignment vertical="center"/>
    </xf>
    <xf numFmtId="172" fontId="26" fillId="2" borderId="5" xfId="0" applyNumberFormat="1" applyFont="1" applyFill="1" applyBorder="1" applyAlignment="1">
      <alignment vertical="center"/>
    </xf>
    <xf numFmtId="172" fontId="26" fillId="2" borderId="0" xfId="0" applyNumberFormat="1" applyFont="1" applyFill="1" applyBorder="1" applyAlignment="1">
      <alignment vertical="center"/>
    </xf>
    <xf numFmtId="172" fontId="26" fillId="0" borderId="0" xfId="0" applyNumberFormat="1" applyFont="1" applyBorder="1" applyAlignment="1">
      <alignment vertical="center"/>
    </xf>
    <xf numFmtId="0" fontId="26" fillId="0" borderId="5" xfId="0" applyFont="1" applyBorder="1" applyAlignment="1">
      <alignment horizontal="center"/>
    </xf>
    <xf numFmtId="0" fontId="10" fillId="0" borderId="0" xfId="0" applyFont="1" applyFill="1" applyBorder="1" applyAlignment="1">
      <alignment horizontal="left" wrapText="1"/>
    </xf>
    <xf numFmtId="0" fontId="10" fillId="0" borderId="0" xfId="0" applyFont="1" applyFill="1" applyBorder="1" applyAlignment="1">
      <alignment horizontal="center" wrapText="1"/>
    </xf>
    <xf numFmtId="0" fontId="10" fillId="0" borderId="1" xfId="0" applyFont="1" applyFill="1" applyBorder="1" applyAlignment="1">
      <alignment horizontal="left" wrapText="1"/>
    </xf>
    <xf numFmtId="0" fontId="10" fillId="0" borderId="1" xfId="0" applyFont="1" applyFill="1" applyBorder="1" applyAlignment="1">
      <alignment horizontal="center" wrapText="1"/>
    </xf>
    <xf numFmtId="0" fontId="3" fillId="0" borderId="0" xfId="0" applyFont="1" applyFill="1" applyBorder="1" applyAlignment="1">
      <alignment horizontal="left" vertical="center"/>
    </xf>
    <xf numFmtId="1"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26" fillId="0" borderId="5" xfId="0" applyFont="1" applyFill="1" applyBorder="1" applyAlignment="1">
      <alignment horizontal="center"/>
    </xf>
    <xf numFmtId="173" fontId="3" fillId="0" borderId="0" xfId="0" applyNumberFormat="1" applyFont="1" applyFill="1" applyBorder="1" applyAlignment="1">
      <alignment horizontal="center" vertical="center"/>
    </xf>
    <xf numFmtId="173" fontId="26" fillId="0" borderId="5" xfId="0" applyNumberFormat="1" applyFont="1" applyFill="1" applyBorder="1" applyAlignment="1">
      <alignment horizontal="center" vertical="center"/>
    </xf>
    <xf numFmtId="0" fontId="42" fillId="0" borderId="1" xfId="0" applyFont="1" applyBorder="1" applyAlignment="1">
      <alignment horizontal="center"/>
    </xf>
    <xf numFmtId="0" fontId="42" fillId="0" borderId="1" xfId="0" applyFont="1" applyBorder="1" applyAlignment="1">
      <alignment horizontal="center" wrapText="1"/>
    </xf>
    <xf numFmtId="0" fontId="31" fillId="0" borderId="0" xfId="0" applyFont="1" applyBorder="1" applyAlignment="1">
      <alignment horizontal="center"/>
    </xf>
    <xf numFmtId="0" fontId="31" fillId="0" borderId="0" xfId="0" applyFont="1" applyBorder="1" applyAlignment="1">
      <alignment horizontal="center" wrapText="1"/>
    </xf>
    <xf numFmtId="0" fontId="3" fillId="0" borderId="0" xfId="0" applyFont="1" applyBorder="1" applyAlignment="1">
      <alignment horizontal="center"/>
    </xf>
    <xf numFmtId="0" fontId="12" fillId="0" borderId="0" xfId="0" applyFont="1" applyAlignment="1">
      <alignment horizontal="center"/>
    </xf>
    <xf numFmtId="0" fontId="10" fillId="0" borderId="5" xfId="0" applyFont="1" applyBorder="1"/>
    <xf numFmtId="0" fontId="10" fillId="0" borderId="5" xfId="0" applyFont="1" applyBorder="1" applyAlignment="1">
      <alignment horizontal="center"/>
    </xf>
    <xf numFmtId="0" fontId="3" fillId="0" borderId="0" xfId="0" applyFont="1" applyBorder="1" applyAlignment="1">
      <alignment horizontal="right"/>
    </xf>
    <xf numFmtId="0" fontId="26" fillId="0" borderId="5" xfId="0" applyFont="1" applyBorder="1" applyAlignment="1">
      <alignment horizontal="right"/>
    </xf>
    <xf numFmtId="0" fontId="12" fillId="0" borderId="0" xfId="0" applyFont="1" applyAlignment="1">
      <alignment horizontal="right"/>
    </xf>
    <xf numFmtId="0" fontId="10" fillId="0" borderId="5" xfId="0" applyFont="1" applyBorder="1" applyAlignment="1">
      <alignment horizontal="right"/>
    </xf>
    <xf numFmtId="0" fontId="29" fillId="0" borderId="0" xfId="0" applyFont="1"/>
    <xf numFmtId="0" fontId="7" fillId="0" borderId="0" xfId="0" applyFont="1" applyFill="1"/>
    <xf numFmtId="0" fontId="34" fillId="0" borderId="0" xfId="0" applyFont="1" applyFill="1"/>
    <xf numFmtId="0" fontId="8" fillId="0" borderId="0" xfId="0" applyFont="1" applyFill="1"/>
    <xf numFmtId="0" fontId="8" fillId="0" borderId="0" xfId="0" applyFont="1" applyFill="1" applyAlignment="1">
      <alignment horizontal="center" vertical="center"/>
    </xf>
    <xf numFmtId="0" fontId="7" fillId="0" borderId="0" xfId="0" applyFont="1" applyFill="1" applyAlignment="1">
      <alignment horizontal="center" vertical="center"/>
    </xf>
    <xf numFmtId="0" fontId="42" fillId="0" borderId="1" xfId="0" applyFont="1" applyFill="1" applyBorder="1" applyAlignment="1">
      <alignment horizontal="center"/>
    </xf>
    <xf numFmtId="0" fontId="42" fillId="0" borderId="1" xfId="0" applyFont="1" applyFill="1" applyBorder="1" applyAlignment="1">
      <alignment horizontal="center" wrapText="1"/>
    </xf>
    <xf numFmtId="0" fontId="7" fillId="0" borderId="0" xfId="0" applyFont="1" applyFill="1" applyAlignment="1">
      <alignment horizontal="center" vertical="center" wrapText="1"/>
    </xf>
    <xf numFmtId="0" fontId="12" fillId="0" borderId="0" xfId="0" applyFont="1" applyFill="1" applyAlignment="1">
      <alignment horizontal="center" vertical="center" wrapText="1"/>
    </xf>
    <xf numFmtId="0" fontId="12" fillId="0" borderId="4" xfId="0" applyFont="1" applyFill="1" applyBorder="1"/>
    <xf numFmtId="0" fontId="12" fillId="0" borderId="4" xfId="0" applyFont="1" applyFill="1" applyBorder="1" applyAlignment="1">
      <alignment horizontal="center"/>
    </xf>
    <xf numFmtId="0" fontId="7" fillId="0" borderId="0" xfId="0" applyFont="1" applyFill="1" applyBorder="1"/>
    <xf numFmtId="0" fontId="8" fillId="0" borderId="0" xfId="0" applyFont="1" applyFill="1" applyBorder="1"/>
    <xf numFmtId="1" fontId="7" fillId="0" borderId="0" xfId="0" applyNumberFormat="1" applyFont="1" applyFill="1" applyBorder="1"/>
    <xf numFmtId="0" fontId="30" fillId="0" borderId="4" xfId="0" applyFont="1" applyFill="1" applyBorder="1" applyAlignment="1">
      <alignment horizontal="center"/>
    </xf>
    <xf numFmtId="167" fontId="29" fillId="0" borderId="4" xfId="0" applyNumberFormat="1" applyFont="1" applyFill="1" applyBorder="1" applyAlignment="1">
      <alignment horizontal="center"/>
    </xf>
    <xf numFmtId="167" fontId="29" fillId="0" borderId="4" xfId="0" applyNumberFormat="1" applyFont="1" applyFill="1" applyBorder="1" applyAlignment="1">
      <alignment horizontal="center" vertical="center"/>
    </xf>
    <xf numFmtId="0" fontId="32" fillId="0" borderId="0" xfId="0" applyFont="1" applyFill="1" applyBorder="1"/>
    <xf numFmtId="3"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29" fillId="0" borderId="5" xfId="0" applyFont="1" applyFill="1" applyBorder="1"/>
    <xf numFmtId="0" fontId="10" fillId="0" borderId="5" xfId="0" applyFont="1" applyFill="1" applyBorder="1"/>
    <xf numFmtId="0" fontId="44" fillId="0" borderId="5" xfId="0" applyFont="1" applyFill="1" applyBorder="1"/>
    <xf numFmtId="0" fontId="44" fillId="0" borderId="5" xfId="0" applyFont="1" applyFill="1" applyBorder="1" applyAlignment="1">
      <alignment horizontal="center"/>
    </xf>
    <xf numFmtId="3" fontId="10" fillId="0" borderId="5" xfId="0" applyNumberFormat="1" applyFont="1" applyFill="1" applyBorder="1" applyAlignment="1">
      <alignment horizontal="right"/>
    </xf>
    <xf numFmtId="0" fontId="44" fillId="0" borderId="5" xfId="0" applyFont="1" applyFill="1" applyBorder="1" applyAlignment="1">
      <alignment horizontal="right"/>
    </xf>
    <xf numFmtId="3" fontId="10" fillId="0" borderId="5" xfId="0" applyNumberFormat="1" applyFont="1" applyFill="1" applyBorder="1" applyAlignment="1">
      <alignment horizontal="center" vertical="center"/>
    </xf>
    <xf numFmtId="0" fontId="2" fillId="0" borderId="0" xfId="0" applyFont="1" applyFill="1" applyBorder="1" applyAlignment="1">
      <alignment horizontal="center"/>
    </xf>
    <xf numFmtId="0" fontId="1" fillId="0" borderId="0" xfId="0" applyFont="1" applyFill="1" applyBorder="1" applyAlignment="1">
      <alignment horizontal="center" vertical="center"/>
    </xf>
    <xf numFmtId="2" fontId="1" fillId="0" borderId="0" xfId="0" applyNumberFormat="1" applyFont="1" applyFill="1" applyBorder="1"/>
    <xf numFmtId="0" fontId="2" fillId="0" borderId="0" xfId="0" applyFont="1" applyFill="1" applyBorder="1" applyAlignment="1">
      <alignment horizontal="center" vertical="center"/>
    </xf>
    <xf numFmtId="0" fontId="21" fillId="0" borderId="0" xfId="0" applyFont="1" applyFill="1" applyBorder="1"/>
    <xf numFmtId="0" fontId="54" fillId="0" borderId="0" xfId="0" applyFont="1" applyFill="1" applyBorder="1" applyAlignment="1">
      <alignment horizontal="center"/>
    </xf>
    <xf numFmtId="1" fontId="2" fillId="0" borderId="0" xfId="0" applyNumberFormat="1" applyFont="1" applyFill="1" applyBorder="1"/>
    <xf numFmtId="0" fontId="3" fillId="0" borderId="0" xfId="0" applyFont="1" applyFill="1" applyBorder="1" applyAlignment="1">
      <alignment horizontal="center"/>
    </xf>
    <xf numFmtId="2" fontId="3" fillId="0" borderId="0" xfId="0" applyNumberFormat="1" applyFont="1" applyFill="1" applyBorder="1" applyAlignment="1">
      <alignment horizontal="right"/>
    </xf>
    <xf numFmtId="0" fontId="3" fillId="0" borderId="0" xfId="0" applyFont="1" applyFill="1" applyBorder="1" applyAlignment="1">
      <alignment horizontal="right"/>
    </xf>
    <xf numFmtId="4" fontId="3"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 fontId="28" fillId="0" borderId="0" xfId="0" applyNumberFormat="1" applyFont="1" applyFill="1" applyBorder="1" applyAlignment="1">
      <alignment horizontal="right"/>
    </xf>
    <xf numFmtId="1" fontId="26" fillId="0" borderId="0" xfId="0" applyNumberFormat="1" applyFont="1" applyFill="1" applyBorder="1" applyAlignment="1">
      <alignment horizontal="right"/>
    </xf>
    <xf numFmtId="3" fontId="3" fillId="0" borderId="0" xfId="0" applyNumberFormat="1" applyFont="1" applyFill="1" applyBorder="1" applyAlignment="1">
      <alignment horizontal="center" vertical="center"/>
    </xf>
    <xf numFmtId="0" fontId="28" fillId="0" borderId="0" xfId="0" applyFont="1" applyFill="1" applyBorder="1" applyAlignment="1">
      <alignment horizontal="right"/>
    </xf>
    <xf numFmtId="4" fontId="26" fillId="0" borderId="0" xfId="0" applyNumberFormat="1" applyFont="1" applyFill="1" applyBorder="1" applyAlignment="1">
      <alignment horizontal="right"/>
    </xf>
    <xf numFmtId="1" fontId="26" fillId="0" borderId="0" xfId="0" applyNumberFormat="1" applyFont="1" applyFill="1" applyBorder="1" applyAlignment="1">
      <alignment horizontal="center" vertical="center"/>
    </xf>
    <xf numFmtId="168" fontId="3" fillId="0" borderId="0" xfId="0" applyNumberFormat="1" applyFont="1" applyFill="1" applyBorder="1" applyAlignment="1">
      <alignment horizontal="right"/>
    </xf>
    <xf numFmtId="167" fontId="26" fillId="0" borderId="0" xfId="0" applyNumberFormat="1" applyFont="1" applyFill="1" applyBorder="1" applyAlignment="1">
      <alignment horizontal="right"/>
    </xf>
    <xf numFmtId="1" fontId="28" fillId="0" borderId="0" xfId="0" quotePrefix="1" applyNumberFormat="1" applyFont="1" applyFill="1" applyBorder="1" applyAlignment="1">
      <alignment horizontal="right"/>
    </xf>
    <xf numFmtId="0" fontId="3" fillId="0" borderId="5" xfId="0" applyFont="1" applyFill="1" applyBorder="1"/>
    <xf numFmtId="0" fontId="3" fillId="0" borderId="5" xfId="0" applyFont="1" applyFill="1" applyBorder="1" applyAlignment="1">
      <alignment horizontal="center"/>
    </xf>
    <xf numFmtId="1" fontId="26" fillId="0" borderId="5" xfId="0" applyNumberFormat="1" applyFont="1" applyFill="1" applyBorder="1" applyAlignment="1">
      <alignment horizontal="right"/>
    </xf>
    <xf numFmtId="0" fontId="3" fillId="0" borderId="5" xfId="0" applyFont="1" applyFill="1" applyBorder="1" applyAlignment="1">
      <alignment horizontal="right"/>
    </xf>
    <xf numFmtId="3" fontId="26" fillId="0" borderId="5" xfId="0" applyNumberFormat="1" applyFont="1" applyFill="1" applyBorder="1" applyAlignment="1">
      <alignment horizontal="right"/>
    </xf>
    <xf numFmtId="3" fontId="26" fillId="0" borderId="5" xfId="0" applyNumberFormat="1" applyFont="1" applyFill="1" applyBorder="1" applyAlignment="1">
      <alignment horizontal="center" vertical="center"/>
    </xf>
    <xf numFmtId="0" fontId="10" fillId="0" borderId="5" xfId="0" applyFont="1" applyFill="1" applyBorder="1" applyAlignment="1">
      <alignment horizontal="center" vertical="center"/>
    </xf>
    <xf numFmtId="0" fontId="40" fillId="0" borderId="4" xfId="0" applyFont="1" applyFill="1" applyBorder="1" applyAlignment="1">
      <alignment horizontal="center"/>
    </xf>
    <xf numFmtId="0" fontId="40" fillId="0" borderId="1" xfId="0" applyFont="1" applyFill="1" applyBorder="1" applyAlignment="1">
      <alignment horizontal="center"/>
    </xf>
    <xf numFmtId="168" fontId="29" fillId="0" borderId="5" xfId="0" applyNumberFormat="1" applyFont="1" applyFill="1" applyBorder="1"/>
    <xf numFmtId="0" fontId="7" fillId="0" borderId="0" xfId="1" applyFont="1" applyFill="1"/>
    <xf numFmtId="0" fontId="8" fillId="0" borderId="0" xfId="1" applyFont="1" applyFill="1"/>
    <xf numFmtId="0" fontId="8" fillId="0" borderId="0" xfId="1" applyFont="1" applyFill="1" applyAlignment="1">
      <alignment horizontal="center"/>
    </xf>
    <xf numFmtId="0" fontId="7" fillId="0" borderId="0" xfId="1" applyFont="1" applyFill="1" applyAlignment="1">
      <alignment horizontal="center"/>
    </xf>
    <xf numFmtId="0" fontId="7" fillId="0" borderId="0" xfId="1" applyFont="1" applyFill="1" applyAlignment="1">
      <alignment wrapText="1"/>
    </xf>
    <xf numFmtId="167" fontId="29"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center"/>
    </xf>
    <xf numFmtId="0" fontId="1" fillId="0" borderId="0" xfId="0" applyFont="1" applyFill="1"/>
    <xf numFmtId="0" fontId="7" fillId="0" borderId="0" xfId="1" applyFont="1" applyFill="1" applyAlignment="1"/>
    <xf numFmtId="4" fontId="8" fillId="0" borderId="0" xfId="1" applyNumberFormat="1" applyFont="1" applyFill="1"/>
    <xf numFmtId="0" fontId="40" fillId="0" borderId="4" xfId="0" applyFont="1" applyFill="1" applyBorder="1" applyAlignment="1">
      <alignment horizontal="center" wrapText="1"/>
    </xf>
    <xf numFmtId="0" fontId="2" fillId="0" borderId="0" xfId="1" applyFont="1" applyFill="1"/>
    <xf numFmtId="0" fontId="55" fillId="0" borderId="0" xfId="1" applyFont="1" applyFill="1" applyBorder="1"/>
    <xf numFmtId="0" fontId="3" fillId="0" borderId="0" xfId="1" applyFont="1" applyFill="1" applyBorder="1"/>
    <xf numFmtId="0" fontId="3" fillId="0" borderId="0" xfId="1" applyFont="1" applyFill="1" applyBorder="1" applyAlignment="1">
      <alignment vertical="center"/>
    </xf>
    <xf numFmtId="0" fontId="26" fillId="0" borderId="0" xfId="1" applyFont="1" applyFill="1" applyBorder="1" applyAlignment="1">
      <alignment vertical="center"/>
    </xf>
    <xf numFmtId="0" fontId="26" fillId="0" borderId="0" xfId="1" applyFont="1" applyFill="1" applyBorder="1" applyAlignment="1">
      <alignment horizontal="center"/>
    </xf>
    <xf numFmtId="0" fontId="3" fillId="0" borderId="0" xfId="1" applyFont="1" applyFill="1" applyBorder="1" applyAlignment="1">
      <alignment horizontal="center"/>
    </xf>
    <xf numFmtId="0" fontId="56" fillId="0" borderId="0" xfId="1" applyFont="1" applyFill="1" applyBorder="1"/>
    <xf numFmtId="0" fontId="3" fillId="0" borderId="0" xfId="2" applyFont="1" applyFill="1" applyBorder="1"/>
    <xf numFmtId="0" fontId="3" fillId="0" borderId="0" xfId="2" applyFont="1" applyFill="1" applyBorder="1" applyAlignment="1">
      <alignment horizontal="center"/>
    </xf>
    <xf numFmtId="1" fontId="3" fillId="0" borderId="0" xfId="3" applyNumberFormat="1" applyFont="1" applyFill="1" applyBorder="1" applyAlignment="1">
      <alignment vertical="center"/>
    </xf>
    <xf numFmtId="0" fontId="28" fillId="0" borderId="0" xfId="1" applyFont="1" applyFill="1" applyBorder="1" applyAlignment="1">
      <alignment vertical="center"/>
    </xf>
    <xf numFmtId="3" fontId="26" fillId="0" borderId="0" xfId="1" applyNumberFormat="1" applyFont="1" applyFill="1" applyBorder="1" applyAlignment="1">
      <alignment vertical="center"/>
    </xf>
    <xf numFmtId="1" fontId="3" fillId="0" borderId="0" xfId="1" applyNumberFormat="1" applyFont="1" applyFill="1" applyBorder="1" applyAlignment="1">
      <alignment horizontal="center"/>
    </xf>
    <xf numFmtId="0" fontId="21" fillId="0" borderId="0" xfId="1" applyFont="1" applyFill="1"/>
    <xf numFmtId="1" fontId="3" fillId="0" borderId="0" xfId="2" applyNumberFormat="1" applyFont="1" applyFill="1" applyBorder="1" applyAlignment="1">
      <alignment vertical="center"/>
    </xf>
    <xf numFmtId="0" fontId="28" fillId="0" borderId="0" xfId="2" applyFont="1" applyFill="1" applyBorder="1" applyAlignment="1">
      <alignment vertical="center"/>
    </xf>
    <xf numFmtId="3" fontId="26" fillId="0" borderId="0" xfId="2" applyNumberFormat="1" applyFont="1" applyFill="1" applyBorder="1" applyAlignment="1">
      <alignment vertical="center"/>
    </xf>
    <xf numFmtId="0" fontId="26" fillId="0" borderId="0" xfId="0" applyFont="1" applyFill="1" applyBorder="1" applyAlignment="1">
      <alignment vertical="center"/>
    </xf>
    <xf numFmtId="0" fontId="28" fillId="0" borderId="0" xfId="0" applyFont="1" applyFill="1" applyBorder="1" applyAlignment="1">
      <alignment horizontal="center" vertical="center"/>
    </xf>
    <xf numFmtId="1" fontId="26" fillId="0" borderId="0" xfId="0" applyNumberFormat="1" applyFont="1" applyFill="1" applyBorder="1" applyAlignment="1">
      <alignment horizontal="right" vertical="center"/>
    </xf>
    <xf numFmtId="3" fontId="26" fillId="0" borderId="0" xfId="0" applyNumberFormat="1" applyFont="1" applyFill="1" applyBorder="1" applyAlignment="1">
      <alignment horizontal="right" vertical="center"/>
    </xf>
    <xf numFmtId="167" fontId="26" fillId="0" borderId="0" xfId="0" applyNumberFormat="1" applyFont="1" applyFill="1" applyBorder="1" applyAlignment="1">
      <alignment horizontal="center" vertical="center"/>
    </xf>
    <xf numFmtId="3" fontId="3" fillId="0" borderId="0" xfId="1" applyNumberFormat="1" applyFont="1" applyFill="1" applyBorder="1" applyAlignment="1">
      <alignment vertical="center"/>
    </xf>
    <xf numFmtId="2" fontId="28" fillId="0" borderId="0" xfId="1" applyNumberFormat="1" applyFont="1" applyFill="1" applyBorder="1" applyAlignment="1">
      <alignment vertical="center"/>
    </xf>
    <xf numFmtId="3" fontId="3" fillId="0" borderId="0" xfId="0" applyNumberFormat="1" applyFont="1" applyFill="1" applyBorder="1" applyAlignment="1">
      <alignment horizontal="right" vertical="center"/>
    </xf>
    <xf numFmtId="0" fontId="26" fillId="0" borderId="5" xfId="0" applyFont="1" applyFill="1" applyBorder="1" applyAlignment="1">
      <alignment vertical="center"/>
    </xf>
    <xf numFmtId="0" fontId="3" fillId="0" borderId="5" xfId="0" applyFont="1" applyFill="1" applyBorder="1" applyAlignment="1">
      <alignment horizontal="center" vertical="center"/>
    </xf>
    <xf numFmtId="3" fontId="26" fillId="0" borderId="5" xfId="0" applyNumberFormat="1" applyFont="1" applyFill="1" applyBorder="1" applyAlignment="1">
      <alignment horizontal="right" vertical="center"/>
    </xf>
    <xf numFmtId="3" fontId="3" fillId="0" borderId="5" xfId="0" applyNumberFormat="1" applyFont="1" applyFill="1" applyBorder="1" applyAlignment="1">
      <alignment horizontal="right" vertical="center"/>
    </xf>
    <xf numFmtId="0" fontId="3" fillId="0" borderId="5" xfId="0" applyFont="1" applyFill="1" applyBorder="1" applyAlignment="1">
      <alignment vertical="center"/>
    </xf>
    <xf numFmtId="1" fontId="3" fillId="0" borderId="5" xfId="0" applyNumberFormat="1" applyFont="1" applyFill="1" applyBorder="1" applyAlignment="1">
      <alignment horizontal="right" vertical="center"/>
    </xf>
    <xf numFmtId="0" fontId="26" fillId="0" borderId="5" xfId="0" applyFont="1" applyFill="1" applyBorder="1" applyAlignment="1">
      <alignment horizontal="center" vertical="center"/>
    </xf>
    <xf numFmtId="0" fontId="56" fillId="0" borderId="5" xfId="0" applyFont="1" applyFill="1" applyBorder="1" applyAlignment="1">
      <alignment horizontal="center" vertical="center"/>
    </xf>
    <xf numFmtId="0" fontId="10" fillId="0" borderId="5" xfId="1" applyFont="1" applyFill="1" applyBorder="1" applyAlignment="1">
      <alignment horizontal="center"/>
    </xf>
    <xf numFmtId="0" fontId="10" fillId="0" borderId="5" xfId="1" applyFont="1" applyFill="1" applyBorder="1"/>
    <xf numFmtId="3" fontId="44" fillId="0" borderId="5" xfId="1" applyNumberFormat="1" applyFont="1" applyFill="1" applyBorder="1" applyAlignment="1">
      <alignment vertical="center"/>
    </xf>
    <xf numFmtId="3" fontId="10" fillId="0" borderId="5" xfId="1" applyNumberFormat="1" applyFont="1" applyFill="1" applyBorder="1" applyAlignment="1">
      <alignment vertical="center"/>
    </xf>
    <xf numFmtId="3" fontId="10" fillId="0" borderId="5" xfId="1" applyNumberFormat="1" applyFont="1" applyFill="1" applyBorder="1" applyAlignment="1">
      <alignment horizontal="center"/>
    </xf>
    <xf numFmtId="0" fontId="12" fillId="0" borderId="0" xfId="0" applyFont="1" applyFill="1" applyAlignment="1">
      <alignment vertical="center"/>
    </xf>
    <xf numFmtId="0" fontId="32" fillId="0" borderId="0" xfId="0" applyFont="1" applyFill="1"/>
    <xf numFmtId="167" fontId="26" fillId="0" borderId="5" xfId="0" applyNumberFormat="1" applyFont="1" applyFill="1" applyBorder="1" applyAlignment="1">
      <alignment horizontal="center" vertical="center"/>
    </xf>
    <xf numFmtId="3" fontId="1" fillId="0" borderId="5" xfId="0" applyNumberFormat="1" applyFont="1" applyFill="1" applyBorder="1" applyAlignment="1">
      <alignment horizontal="center" vertical="center"/>
    </xf>
    <xf numFmtId="170" fontId="3" fillId="0" borderId="5" xfId="0" applyNumberFormat="1" applyFont="1" applyFill="1" applyBorder="1" applyAlignment="1">
      <alignment horizontal="center" vertical="center"/>
    </xf>
    <xf numFmtId="0" fontId="56" fillId="0" borderId="0" xfId="0" applyFont="1" applyFill="1" applyBorder="1" applyAlignment="1">
      <alignment vertical="center"/>
    </xf>
    <xf numFmtId="0" fontId="1" fillId="0" borderId="0" xfId="0" applyFont="1" applyFill="1" applyBorder="1" applyAlignment="1">
      <alignment vertical="center"/>
    </xf>
    <xf numFmtId="0" fontId="58" fillId="0" borderId="0" xfId="0" applyFont="1" applyFill="1" applyBorder="1" applyAlignment="1">
      <alignment horizontal="center" vertical="center"/>
    </xf>
    <xf numFmtId="0" fontId="2" fillId="0" borderId="0" xfId="0" applyFont="1" applyFill="1" applyAlignment="1">
      <alignment vertical="center"/>
    </xf>
    <xf numFmtId="14" fontId="3" fillId="0" borderId="0" xfId="0" applyNumberFormat="1" applyFont="1" applyFill="1" applyBorder="1" applyAlignment="1">
      <alignment horizontal="center" vertical="center"/>
    </xf>
    <xf numFmtId="167" fontId="3" fillId="0" borderId="0"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170" fontId="3" fillId="0" borderId="0" xfId="0" applyNumberFormat="1" applyFont="1" applyFill="1" applyBorder="1" applyAlignment="1">
      <alignment horizontal="center" vertical="center"/>
    </xf>
    <xf numFmtId="0" fontId="3" fillId="0" borderId="0" xfId="0" applyFont="1" applyFill="1" applyBorder="1" applyAlignment="1">
      <alignment horizontal="left"/>
    </xf>
    <xf numFmtId="0" fontId="2" fillId="0" borderId="0" xfId="0" applyFont="1" applyFill="1" applyBorder="1" applyAlignment="1">
      <alignment vertical="center"/>
    </xf>
    <xf numFmtId="3" fontId="26" fillId="0" borderId="0" xfId="0" applyNumberFormat="1" applyFont="1" applyFill="1" applyBorder="1" applyAlignment="1">
      <alignment horizontal="center" vertical="center"/>
    </xf>
    <xf numFmtId="0" fontId="57" fillId="0" borderId="0" xfId="0" applyFont="1" applyFill="1"/>
    <xf numFmtId="0" fontId="28" fillId="0" borderId="0" xfId="0" applyFont="1" applyFill="1" applyBorder="1" applyAlignment="1">
      <alignment horizontal="right" vertical="center"/>
    </xf>
    <xf numFmtId="0" fontId="10" fillId="0" borderId="5" xfId="0" applyFont="1" applyFill="1" applyBorder="1" applyAlignment="1">
      <alignment horizontal="center"/>
    </xf>
    <xf numFmtId="3" fontId="10" fillId="0" borderId="5" xfId="0" applyNumberFormat="1" applyFont="1" applyFill="1" applyBorder="1" applyAlignment="1">
      <alignment horizontal="center"/>
    </xf>
    <xf numFmtId="0" fontId="55" fillId="0" borderId="0" xfId="0" applyFont="1" applyFill="1" applyBorder="1" applyAlignment="1">
      <alignment vertical="center"/>
    </xf>
    <xf numFmtId="167" fontId="3" fillId="0" borderId="0" xfId="0" applyNumberFormat="1" applyFont="1" applyFill="1" applyBorder="1" applyAlignment="1">
      <alignment horizontal="right" vertical="center"/>
    </xf>
    <xf numFmtId="167" fontId="3" fillId="0" borderId="5" xfId="0" applyNumberFormat="1" applyFont="1" applyFill="1" applyBorder="1" applyAlignment="1">
      <alignment horizontal="right" vertical="center"/>
    </xf>
    <xf numFmtId="0" fontId="28" fillId="0" borderId="5" xfId="0" applyFont="1" applyFill="1" applyBorder="1" applyAlignment="1">
      <alignment horizontal="right" vertical="center"/>
    </xf>
    <xf numFmtId="167" fontId="26" fillId="0" borderId="5" xfId="0" applyNumberFormat="1" applyFont="1" applyFill="1" applyBorder="1" applyAlignment="1">
      <alignment horizontal="right" vertical="center"/>
    </xf>
    <xf numFmtId="167" fontId="26"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168" fontId="26" fillId="0" borderId="0" xfId="0" applyNumberFormat="1" applyFont="1" applyFill="1" applyBorder="1" applyAlignment="1">
      <alignment horizontal="right" vertical="center"/>
    </xf>
    <xf numFmtId="0" fontId="3" fillId="0" borderId="5" xfId="0" applyFont="1" applyFill="1" applyBorder="1" applyAlignment="1">
      <alignment horizontal="right" vertical="center"/>
    </xf>
    <xf numFmtId="0" fontId="1" fillId="0" borderId="0" xfId="0" applyFont="1" applyFill="1" applyBorder="1" applyAlignment="1">
      <alignment horizontal="right" vertical="center"/>
    </xf>
    <xf numFmtId="0" fontId="58" fillId="0" borderId="0" xfId="0" applyFont="1" applyFill="1" applyBorder="1" applyAlignment="1">
      <alignment horizontal="right" vertical="center"/>
    </xf>
    <xf numFmtId="168" fontId="44" fillId="0" borderId="5" xfId="0" applyNumberFormat="1" applyFont="1" applyFill="1" applyBorder="1" applyAlignment="1">
      <alignment horizontal="right"/>
    </xf>
    <xf numFmtId="168" fontId="10" fillId="0" borderId="5" xfId="0" applyNumberFormat="1" applyFont="1" applyFill="1" applyBorder="1" applyAlignment="1">
      <alignment horizontal="right"/>
    </xf>
    <xf numFmtId="0" fontId="28" fillId="0" borderId="24" xfId="0" applyFont="1" applyFill="1" applyBorder="1" applyAlignment="1">
      <alignment horizontal="right" vertical="center"/>
    </xf>
    <xf numFmtId="0" fontId="28" fillId="0" borderId="24" xfId="0" quotePrefix="1" applyFont="1" applyFill="1" applyBorder="1" applyAlignment="1">
      <alignment horizontal="right" vertical="center"/>
    </xf>
    <xf numFmtId="0" fontId="42" fillId="0" borderId="25" xfId="0" applyFont="1" applyFill="1" applyBorder="1" applyAlignment="1">
      <alignment horizontal="left" vertical="center"/>
    </xf>
    <xf numFmtId="0" fontId="31" fillId="0" borderId="0" xfId="0" applyFont="1" applyFill="1" applyBorder="1" applyAlignment="1">
      <alignment horizontal="center" vertical="center"/>
    </xf>
    <xf numFmtId="0" fontId="31" fillId="0" borderId="22" xfId="0" applyFont="1" applyFill="1" applyBorder="1" applyAlignment="1">
      <alignment horizontal="center" vertical="center"/>
    </xf>
    <xf numFmtId="0" fontId="31" fillId="3" borderId="0" xfId="0" applyFont="1" applyFill="1" applyBorder="1" applyAlignment="1">
      <alignment horizontal="center" vertical="center"/>
    </xf>
    <xf numFmtId="173" fontId="28" fillId="0" borderId="0" xfId="0" applyNumberFormat="1" applyFont="1" applyFill="1" applyBorder="1" applyAlignment="1">
      <alignment horizontal="center"/>
    </xf>
    <xf numFmtId="173" fontId="28" fillId="0" borderId="22" xfId="0" applyNumberFormat="1" applyFont="1" applyFill="1" applyBorder="1" applyAlignment="1">
      <alignment horizontal="center"/>
    </xf>
    <xf numFmtId="173" fontId="28" fillId="3" borderId="0" xfId="0" applyNumberFormat="1" applyFont="1" applyFill="1" applyBorder="1" applyAlignment="1">
      <alignment horizontal="center"/>
    </xf>
    <xf numFmtId="173" fontId="3" fillId="0" borderId="22" xfId="0" applyNumberFormat="1" applyFont="1" applyFill="1" applyBorder="1" applyAlignment="1">
      <alignment horizontal="center"/>
    </xf>
    <xf numFmtId="173" fontId="3" fillId="0" borderId="0" xfId="0" applyNumberFormat="1" applyFont="1" applyFill="1" applyBorder="1" applyAlignment="1">
      <alignment horizontal="center"/>
    </xf>
    <xf numFmtId="173" fontId="42" fillId="0" borderId="5" xfId="0" applyNumberFormat="1" applyFont="1" applyFill="1" applyBorder="1" applyAlignment="1">
      <alignment horizontal="center"/>
    </xf>
    <xf numFmtId="173" fontId="42" fillId="0" borderId="23" xfId="0" applyNumberFormat="1" applyFont="1" applyFill="1" applyBorder="1" applyAlignment="1">
      <alignment horizontal="center"/>
    </xf>
    <xf numFmtId="173" fontId="42" fillId="3" borderId="5" xfId="0" applyNumberFormat="1" applyFont="1" applyFill="1" applyBorder="1" applyAlignment="1">
      <alignment horizontal="center"/>
    </xf>
    <xf numFmtId="0" fontId="20" fillId="2" borderId="0" xfId="0" applyFont="1" applyFill="1"/>
    <xf numFmtId="0" fontId="15" fillId="2" borderId="0" xfId="0" applyFont="1" applyFill="1"/>
    <xf numFmtId="0" fontId="26" fillId="2" borderId="0" xfId="0" applyFont="1" applyFill="1"/>
    <xf numFmtId="0" fontId="26" fillId="0" borderId="0" xfId="0" applyFont="1" applyFill="1"/>
    <xf numFmtId="0" fontId="40" fillId="0" borderId="0" xfId="0" applyFont="1" applyFill="1"/>
    <xf numFmtId="0" fontId="42" fillId="0" borderId="1" xfId="0" applyFont="1" applyFill="1" applyBorder="1"/>
    <xf numFmtId="0" fontId="20" fillId="2" borderId="0" xfId="0" applyFont="1" applyFill="1" applyBorder="1"/>
    <xf numFmtId="0" fontId="40" fillId="2" borderId="0" xfId="0" applyFont="1" applyFill="1"/>
    <xf numFmtId="0" fontId="42" fillId="0" borderId="0" xfId="0" applyFont="1" applyFill="1" applyBorder="1"/>
    <xf numFmtId="173" fontId="3" fillId="13" borderId="0" xfId="0" applyNumberFormat="1" applyFont="1" applyFill="1" applyBorder="1" applyAlignment="1">
      <alignment horizontal="right"/>
    </xf>
    <xf numFmtId="173" fontId="26" fillId="13" borderId="5" xfId="0" applyNumberFormat="1" applyFont="1" applyFill="1" applyBorder="1" applyAlignment="1">
      <alignment horizontal="right"/>
    </xf>
    <xf numFmtId="173" fontId="3" fillId="13" borderId="18" xfId="0" applyNumberFormat="1" applyFont="1" applyFill="1" applyBorder="1" applyAlignment="1">
      <alignment horizontal="right"/>
    </xf>
    <xf numFmtId="173" fontId="3" fillId="13" borderId="17" xfId="0" applyNumberFormat="1" applyFont="1" applyFill="1" applyBorder="1" applyAlignment="1">
      <alignment horizontal="right"/>
    </xf>
    <xf numFmtId="0" fontId="28" fillId="0" borderId="0" xfId="0" applyFont="1" applyFill="1"/>
    <xf numFmtId="173" fontId="26" fillId="2" borderId="0" xfId="0" applyNumberFormat="1" applyFont="1" applyFill="1"/>
    <xf numFmtId="173" fontId="15" fillId="2" borderId="0" xfId="0" applyNumberFormat="1" applyFont="1" applyFill="1"/>
    <xf numFmtId="173" fontId="20" fillId="2" borderId="0" xfId="0" applyNumberFormat="1" applyFont="1" applyFill="1"/>
    <xf numFmtId="172" fontId="3" fillId="0" borderId="18" xfId="0" applyNumberFormat="1" applyFont="1" applyFill="1" applyBorder="1"/>
    <xf numFmtId="172" fontId="40" fillId="0" borderId="0" xfId="0" applyNumberFormat="1" applyFont="1" applyFill="1" applyBorder="1"/>
    <xf numFmtId="172" fontId="3" fillId="0" borderId="17" xfId="0" applyNumberFormat="1" applyFont="1" applyFill="1" applyBorder="1"/>
    <xf numFmtId="0" fontId="61" fillId="0" borderId="0" xfId="0" pivotButton="1" applyFont="1"/>
    <xf numFmtId="0" fontId="61" fillId="0" borderId="0" xfId="0" applyFont="1"/>
    <xf numFmtId="0" fontId="61" fillId="0" borderId="0" xfId="0" applyFont="1" applyAlignment="1">
      <alignment horizontal="left"/>
    </xf>
    <xf numFmtId="0" fontId="61" fillId="0" borderId="0" xfId="0" applyNumberFormat="1" applyFont="1"/>
    <xf numFmtId="0" fontId="4" fillId="0" borderId="26" xfId="0" applyFont="1" applyBorder="1"/>
    <xf numFmtId="0" fontId="0" fillId="0" borderId="26" xfId="0" applyBorder="1"/>
    <xf numFmtId="0" fontId="4" fillId="0" borderId="26" xfId="0" applyFont="1" applyFill="1" applyBorder="1"/>
    <xf numFmtId="172" fontId="51" fillId="2" borderId="5" xfId="4" applyNumberFormat="1" applyFont="1" applyFill="1" applyBorder="1" applyAlignment="1">
      <alignment vertical="center"/>
    </xf>
    <xf numFmtId="172" fontId="50" fillId="0" borderId="0" xfId="0" applyNumberFormat="1" applyFont="1" applyBorder="1" applyAlignment="1">
      <alignment vertical="center"/>
    </xf>
    <xf numFmtId="172" fontId="51" fillId="3" borderId="0" xfId="4" applyNumberFormat="1" applyFont="1" applyFill="1" applyBorder="1" applyAlignment="1">
      <alignment vertical="center"/>
    </xf>
    <xf numFmtId="172" fontId="50" fillId="0" borderId="0" xfId="4" applyNumberFormat="1" applyFont="1" applyBorder="1" applyAlignment="1">
      <alignment vertical="center"/>
    </xf>
    <xf numFmtId="172" fontId="51" fillId="2" borderId="5" xfId="0" applyNumberFormat="1" applyFont="1" applyFill="1" applyBorder="1" applyAlignment="1">
      <alignment vertical="center"/>
    </xf>
    <xf numFmtId="172" fontId="51" fillId="0" borderId="0" xfId="0" applyNumberFormat="1" applyFont="1" applyBorder="1" applyAlignment="1">
      <alignment vertical="center"/>
    </xf>
    <xf numFmtId="0" fontId="26" fillId="2" borderId="5" xfId="0" applyFont="1" applyFill="1" applyBorder="1" applyAlignment="1">
      <alignment wrapText="1"/>
    </xf>
    <xf numFmtId="0" fontId="40" fillId="2" borderId="5" xfId="0" applyFont="1" applyFill="1" applyBorder="1"/>
    <xf numFmtId="173" fontId="40" fillId="2" borderId="5" xfId="0" applyNumberFormat="1" applyFont="1" applyFill="1" applyBorder="1"/>
    <xf numFmtId="173" fontId="40" fillId="2" borderId="0" xfId="0" applyNumberFormat="1" applyFont="1" applyFill="1" applyBorder="1"/>
    <xf numFmtId="0" fontId="16" fillId="0" borderId="0" xfId="0" applyFont="1" applyAlignment="1">
      <alignment horizontal="left"/>
    </xf>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14" fontId="0" fillId="0" borderId="28" xfId="0" applyNumberFormat="1" applyBorder="1"/>
    <xf numFmtId="14" fontId="0" fillId="0" borderId="29" xfId="0" applyNumberFormat="1" applyBorder="1"/>
    <xf numFmtId="0" fontId="0" fillId="0" borderId="33" xfId="0" applyBorder="1"/>
    <xf numFmtId="0" fontId="0" fillId="0" borderId="34" xfId="0" applyBorder="1"/>
    <xf numFmtId="0" fontId="12" fillId="2" borderId="27" xfId="0" applyFont="1" applyFill="1" applyBorder="1"/>
    <xf numFmtId="3" fontId="12" fillId="2" borderId="33" xfId="0" applyNumberFormat="1" applyFont="1" applyFill="1" applyBorder="1"/>
    <xf numFmtId="0" fontId="12" fillId="2" borderId="34" xfId="0" applyFont="1" applyFill="1" applyBorder="1"/>
    <xf numFmtId="0" fontId="12" fillId="2" borderId="33" xfId="0" applyFont="1" applyFill="1" applyBorder="1"/>
    <xf numFmtId="0" fontId="12" fillId="2" borderId="28" xfId="0" applyFont="1" applyFill="1" applyBorder="1"/>
    <xf numFmtId="0" fontId="12" fillId="2" borderId="29" xfId="0" applyFont="1" applyFill="1" applyBorder="1"/>
    <xf numFmtId="9" fontId="0" fillId="0" borderId="0" xfId="5" applyFont="1" applyFill="1" applyBorder="1"/>
    <xf numFmtId="9" fontId="0" fillId="0" borderId="34" xfId="5" applyFont="1" applyFill="1" applyBorder="1"/>
    <xf numFmtId="9" fontId="0" fillId="0" borderId="31" xfId="5" applyFont="1" applyFill="1" applyBorder="1"/>
    <xf numFmtId="9" fontId="0" fillId="0" borderId="32" xfId="5" applyFont="1" applyFill="1" applyBorder="1"/>
    <xf numFmtId="0" fontId="0" fillId="0" borderId="33" xfId="0" applyFill="1" applyBorder="1"/>
    <xf numFmtId="0" fontId="42" fillId="0" borderId="1" xfId="0" applyFont="1" applyFill="1" applyBorder="1" applyAlignment="1">
      <alignment horizontal="center" wrapText="1"/>
    </xf>
    <xf numFmtId="0" fontId="42" fillId="0" borderId="1" xfId="0" applyFont="1" applyFill="1" applyBorder="1" applyAlignment="1">
      <alignment horizontal="center"/>
    </xf>
    <xf numFmtId="0" fontId="33" fillId="0" borderId="0" xfId="0" applyFont="1" applyFill="1" applyBorder="1" applyAlignment="1">
      <alignment vertical="center"/>
    </xf>
    <xf numFmtId="0" fontId="33" fillId="2" borderId="0" xfId="0" applyFont="1" applyFill="1"/>
    <xf numFmtId="173" fontId="51" fillId="0" borderId="0" xfId="0" applyNumberFormat="1" applyFont="1" applyFill="1" applyBorder="1"/>
    <xf numFmtId="0" fontId="33" fillId="0" borderId="0" xfId="0" applyFont="1" applyAlignment="1"/>
    <xf numFmtId="0" fontId="33" fillId="0" borderId="0" xfId="0" quotePrefix="1" applyFont="1" applyFill="1" applyBorder="1"/>
    <xf numFmtId="0" fontId="3" fillId="0" borderId="24" xfId="0" applyFont="1" applyFill="1" applyBorder="1" applyAlignment="1">
      <alignment horizontal="left" vertical="center"/>
    </xf>
    <xf numFmtId="173" fontId="3" fillId="3" borderId="0" xfId="0" applyNumberFormat="1" applyFont="1" applyFill="1" applyBorder="1" applyAlignment="1">
      <alignment horizontal="center"/>
    </xf>
    <xf numFmtId="0" fontId="31" fillId="0" borderId="24"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2" xfId="0" applyFont="1" applyFill="1" applyBorder="1" applyAlignment="1">
      <alignment horizontal="center" vertical="center"/>
    </xf>
    <xf numFmtId="0" fontId="26" fillId="3" borderId="0" xfId="0" applyFont="1" applyFill="1" applyBorder="1" applyAlignment="1">
      <alignment horizontal="center" vertical="center"/>
    </xf>
    <xf numFmtId="3" fontId="29" fillId="2" borderId="30" xfId="0" applyNumberFormat="1" applyFont="1" applyFill="1" applyBorder="1"/>
    <xf numFmtId="0" fontId="29" fillId="2" borderId="31" xfId="0" applyFont="1" applyFill="1" applyBorder="1"/>
    <xf numFmtId="0" fontId="10" fillId="0" borderId="1" xfId="0" applyFont="1" applyFill="1" applyBorder="1" applyAlignment="1">
      <alignment horizontal="center"/>
    </xf>
    <xf numFmtId="0" fontId="39" fillId="2" borderId="0" xfId="0" applyFont="1" applyFill="1" applyAlignment="1">
      <alignment horizontal="left" wrapText="1"/>
    </xf>
    <xf numFmtId="0" fontId="4" fillId="0" borderId="0" xfId="0" applyFont="1" applyFill="1" applyAlignment="1">
      <alignment vertical="top"/>
    </xf>
    <xf numFmtId="3" fontId="33" fillId="0" borderId="0" xfId="0" quotePrefix="1" applyNumberFormat="1" applyFont="1" applyFill="1" applyAlignment="1">
      <alignment wrapText="1"/>
    </xf>
    <xf numFmtId="0" fontId="10" fillId="0" borderId="1" xfId="0" applyFont="1" applyFill="1" applyBorder="1" applyAlignment="1"/>
    <xf numFmtId="0" fontId="4" fillId="0" borderId="0" xfId="0" applyFont="1" applyFill="1" applyAlignment="1">
      <alignment vertical="center"/>
    </xf>
    <xf numFmtId="0" fontId="40" fillId="0" borderId="2" xfId="0" applyFont="1" applyFill="1" applyBorder="1" applyAlignment="1">
      <alignment vertical="center"/>
    </xf>
    <xf numFmtId="0" fontId="10" fillId="0" borderId="2" xfId="0" applyFont="1" applyBorder="1" applyAlignment="1">
      <alignment vertical="center"/>
    </xf>
    <xf numFmtId="0" fontId="12" fillId="0" borderId="0" xfId="0" applyFont="1" applyAlignment="1">
      <alignment vertical="center"/>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Fill="1" applyBorder="1" applyAlignment="1">
      <alignment horizontal="center" vertical="center" wrapText="1"/>
    </xf>
    <xf numFmtId="0" fontId="9" fillId="0" borderId="0" xfId="0" quotePrefix="1" applyFont="1" applyFill="1" applyBorder="1"/>
    <xf numFmtId="0" fontId="66" fillId="0" borderId="0" xfId="0" quotePrefix="1" applyFont="1" applyFill="1" applyBorder="1"/>
    <xf numFmtId="0" fontId="40" fillId="0" borderId="0" xfId="0" applyNumberFormat="1" applyFont="1" applyFill="1" applyBorder="1" applyAlignment="1">
      <alignment horizontal="center" vertical="center" wrapText="1"/>
    </xf>
    <xf numFmtId="0" fontId="28" fillId="0" borderId="0" xfId="0" applyFont="1" applyFill="1" applyBorder="1" applyAlignment="1">
      <alignment horizontal="left" vertical="center"/>
    </xf>
    <xf numFmtId="173" fontId="28" fillId="11" borderId="0" xfId="0" applyNumberFormat="1" applyFont="1" applyFill="1" applyBorder="1"/>
    <xf numFmtId="173" fontId="28" fillId="0" borderId="0" xfId="0" applyNumberFormat="1" applyFont="1" applyFill="1" applyBorder="1" applyAlignment="1">
      <alignment horizontal="center" vertical="center"/>
    </xf>
    <xf numFmtId="0" fontId="67" fillId="0" borderId="0" xfId="0" applyFont="1" applyFill="1"/>
    <xf numFmtId="173" fontId="56" fillId="11" borderId="5" xfId="0" applyNumberFormat="1" applyFont="1" applyFill="1" applyBorder="1"/>
    <xf numFmtId="0" fontId="10" fillId="0" borderId="1" xfId="0" applyFont="1" applyFill="1" applyBorder="1" applyAlignment="1">
      <alignment horizontal="center"/>
    </xf>
    <xf numFmtId="0" fontId="10" fillId="0" borderId="0" xfId="0" applyFont="1" applyFill="1" applyBorder="1" applyAlignment="1">
      <alignment horizontal="center"/>
    </xf>
    <xf numFmtId="0" fontId="4" fillId="14" borderId="0" xfId="0" applyFont="1" applyFill="1"/>
    <xf numFmtId="0" fontId="10" fillId="0" borderId="1" xfId="0" applyFont="1" applyFill="1" applyBorder="1" applyAlignment="1">
      <alignment horizontal="center"/>
    </xf>
    <xf numFmtId="173" fontId="3" fillId="0" borderId="5" xfId="0" applyNumberFormat="1" applyFont="1" applyFill="1" applyBorder="1"/>
    <xf numFmtId="0" fontId="3" fillId="2" borderId="0" xfId="0" quotePrefix="1" applyFont="1" applyFill="1" applyAlignment="1"/>
    <xf numFmtId="173" fontId="50" fillId="10" borderId="17" xfId="0" applyNumberFormat="1" applyFont="1" applyFill="1" applyBorder="1"/>
    <xf numFmtId="0" fontId="40" fillId="3" borderId="35" xfId="0" applyFont="1" applyFill="1" applyBorder="1" applyAlignment="1">
      <alignment horizontal="center"/>
    </xf>
    <xf numFmtId="173" fontId="50" fillId="10" borderId="18" xfId="0" applyNumberFormat="1" applyFont="1" applyFill="1" applyBorder="1"/>
    <xf numFmtId="173" fontId="50" fillId="10" borderId="5" xfId="0" applyNumberFormat="1" applyFont="1" applyFill="1" applyBorder="1"/>
    <xf numFmtId="173" fontId="2" fillId="10" borderId="0" xfId="0" applyNumberFormat="1" applyFont="1" applyFill="1" applyBorder="1"/>
    <xf numFmtId="173" fontId="2" fillId="10" borderId="17" xfId="0" applyNumberFormat="1" applyFont="1" applyFill="1" applyBorder="1"/>
    <xf numFmtId="173" fontId="2" fillId="10" borderId="18" xfId="0" applyNumberFormat="1" applyFont="1" applyFill="1" applyBorder="1"/>
    <xf numFmtId="173" fontId="2" fillId="10" borderId="5" xfId="0" applyNumberFormat="1" applyFont="1" applyFill="1" applyBorder="1"/>
    <xf numFmtId="173" fontId="1" fillId="10" borderId="5" xfId="0" applyNumberFormat="1" applyFont="1" applyFill="1" applyBorder="1"/>
    <xf numFmtId="173" fontId="51" fillId="10" borderId="5" xfId="0" applyNumberFormat="1" applyFont="1" applyFill="1" applyBorder="1"/>
    <xf numFmtId="173" fontId="51" fillId="10" borderId="0" xfId="0" applyNumberFormat="1" applyFont="1" applyFill="1" applyBorder="1"/>
    <xf numFmtId="173" fontId="1" fillId="10" borderId="0" xfId="0" applyNumberFormat="1" applyFont="1" applyFill="1" applyBorder="1"/>
    <xf numFmtId="173" fontId="2" fillId="2" borderId="0" xfId="0" applyNumberFormat="1" applyFont="1" applyFill="1" applyBorder="1"/>
    <xf numFmtId="0" fontId="3" fillId="2" borderId="0" xfId="0" quotePrefix="1" applyFont="1" applyFill="1"/>
    <xf numFmtId="173" fontId="68" fillId="0" borderId="0" xfId="0" applyNumberFormat="1" applyFont="1" applyFill="1" applyBorder="1"/>
    <xf numFmtId="173" fontId="69" fillId="0" borderId="5" xfId="0" applyNumberFormat="1" applyFont="1" applyFill="1" applyBorder="1"/>
    <xf numFmtId="173" fontId="2" fillId="3" borderId="0" xfId="0" applyNumberFormat="1" applyFont="1" applyFill="1" applyBorder="1"/>
    <xf numFmtId="173" fontId="68" fillId="3" borderId="0" xfId="0" applyNumberFormat="1" applyFont="1" applyFill="1" applyBorder="1"/>
    <xf numFmtId="174" fontId="3" fillId="2" borderId="0" xfId="0" applyNumberFormat="1" applyFont="1" applyFill="1" applyBorder="1"/>
    <xf numFmtId="175" fontId="3" fillId="2" borderId="0" xfId="0" applyNumberFormat="1" applyFont="1" applyFill="1"/>
    <xf numFmtId="174" fontId="3" fillId="3" borderId="0" xfId="0" applyNumberFormat="1" applyFont="1" applyFill="1" applyBorder="1"/>
    <xf numFmtId="174" fontId="50" fillId="10" borderId="0" xfId="0" applyNumberFormat="1" applyFont="1" applyFill="1" applyBorder="1"/>
    <xf numFmtId="174" fontId="2" fillId="10" borderId="0" xfId="0" applyNumberFormat="1" applyFont="1" applyFill="1" applyBorder="1"/>
    <xf numFmtId="174" fontId="3" fillId="0" borderId="0" xfId="0" applyNumberFormat="1" applyFont="1" applyFill="1" applyBorder="1"/>
    <xf numFmtId="0" fontId="40" fillId="0" borderId="35" xfId="0" applyFont="1" applyFill="1" applyBorder="1" applyAlignment="1">
      <alignment horizontal="center"/>
    </xf>
    <xf numFmtId="1" fontId="3" fillId="0" borderId="0" xfId="0" applyNumberFormat="1" applyFont="1" applyBorder="1" applyAlignment="1">
      <alignment horizontal="right"/>
    </xf>
    <xf numFmtId="1" fontId="3" fillId="0" borderId="0" xfId="0" applyNumberFormat="1" applyFont="1" applyBorder="1" applyAlignment="1">
      <alignment horizontal="center"/>
    </xf>
    <xf numFmtId="1" fontId="3" fillId="0" borderId="5" xfId="0" applyNumberFormat="1" applyFont="1" applyBorder="1" applyAlignment="1">
      <alignment horizontal="right"/>
    </xf>
    <xf numFmtId="1" fontId="12" fillId="0" borderId="0" xfId="0" applyNumberFormat="1" applyFont="1" applyAlignment="1">
      <alignment horizontal="right"/>
    </xf>
    <xf numFmtId="1" fontId="44" fillId="0" borderId="5" xfId="0" applyNumberFormat="1" applyFont="1" applyBorder="1" applyAlignment="1">
      <alignment horizontal="right"/>
    </xf>
    <xf numFmtId="1" fontId="26" fillId="0" borderId="5" xfId="0" applyNumberFormat="1" applyFont="1" applyBorder="1" applyAlignment="1">
      <alignment horizontal="right"/>
    </xf>
    <xf numFmtId="1" fontId="10" fillId="0" borderId="5" xfId="0" applyNumberFormat="1" applyFont="1" applyBorder="1" applyAlignment="1">
      <alignment horizontal="right"/>
    </xf>
    <xf numFmtId="1" fontId="12" fillId="0" borderId="0" xfId="0" applyNumberFormat="1" applyFont="1" applyAlignment="1">
      <alignment horizontal="center"/>
    </xf>
    <xf numFmtId="1" fontId="3" fillId="0" borderId="0" xfId="0" applyNumberFormat="1" applyFont="1" applyAlignment="1">
      <alignment horizontal="right"/>
    </xf>
    <xf numFmtId="0" fontId="3" fillId="0" borderId="0" xfId="0" applyFont="1" applyAlignment="1">
      <alignment horizontal="right"/>
    </xf>
    <xf numFmtId="0" fontId="2" fillId="0" borderId="19" xfId="0" applyFont="1" applyFill="1" applyBorder="1"/>
    <xf numFmtId="0" fontId="2" fillId="0" borderId="20" xfId="0" applyFont="1" applyFill="1" applyBorder="1"/>
    <xf numFmtId="0" fontId="2" fillId="0" borderId="21" xfId="0" applyFont="1" applyFill="1" applyBorder="1"/>
    <xf numFmtId="0" fontId="10" fillId="0" borderId="1" xfId="0" applyFont="1" applyFill="1" applyBorder="1" applyAlignment="1">
      <alignment horizontal="center"/>
    </xf>
    <xf numFmtId="0" fontId="10" fillId="2" borderId="1" xfId="0" applyFont="1" applyFill="1" applyBorder="1" applyAlignment="1">
      <alignment horizontal="center"/>
    </xf>
    <xf numFmtId="3" fontId="63" fillId="0" borderId="0" xfId="0" applyNumberFormat="1" applyFont="1" applyFill="1" applyBorder="1" applyAlignment="1">
      <alignment horizontal="left" wrapText="1"/>
    </xf>
    <xf numFmtId="3" fontId="33" fillId="0" borderId="0" xfId="0" quotePrefix="1" applyNumberFormat="1" applyFont="1" applyFill="1" applyAlignment="1">
      <alignment horizontal="left" wrapText="1"/>
    </xf>
    <xf numFmtId="3" fontId="63" fillId="0" borderId="0" xfId="0" quotePrefix="1" applyNumberFormat="1" applyFont="1" applyFill="1" applyAlignment="1">
      <alignment horizontal="left" wrapText="1"/>
    </xf>
    <xf numFmtId="3" fontId="33" fillId="0" borderId="0" xfId="0" quotePrefix="1" applyNumberFormat="1" applyFont="1" applyFill="1" applyAlignment="1">
      <alignment vertical="top" wrapText="1"/>
    </xf>
    <xf numFmtId="3" fontId="33" fillId="0" borderId="0" xfId="0" quotePrefix="1" applyNumberFormat="1" applyFont="1" applyFill="1" applyAlignment="1">
      <alignment horizontal="left" vertical="top" wrapText="1"/>
    </xf>
    <xf numFmtId="3" fontId="33" fillId="0" borderId="0" xfId="0" quotePrefix="1" applyNumberFormat="1" applyFont="1" applyFill="1" applyAlignment="1">
      <alignment horizontal="left"/>
    </xf>
    <xf numFmtId="0" fontId="63" fillId="0" borderId="0" xfId="0" applyFont="1" applyFill="1" applyAlignment="1">
      <alignment horizontal="left" wrapText="1"/>
    </xf>
    <xf numFmtId="0" fontId="10" fillId="0" borderId="0" xfId="0" applyFont="1" applyFill="1" applyBorder="1" applyAlignment="1">
      <alignment horizontal="center"/>
    </xf>
    <xf numFmtId="3" fontId="63" fillId="0" borderId="0" xfId="0" quotePrefix="1" applyNumberFormat="1" applyFont="1" applyFill="1" applyAlignment="1">
      <alignment wrapText="1"/>
    </xf>
    <xf numFmtId="0" fontId="63" fillId="0" borderId="0" xfId="0" applyFont="1" applyFill="1" applyAlignment="1">
      <alignment wrapText="1"/>
    </xf>
    <xf numFmtId="0" fontId="10" fillId="0" borderId="15" xfId="0" applyFont="1" applyBorder="1" applyAlignment="1">
      <alignment horizontal="center" wrapText="1"/>
    </xf>
    <xf numFmtId="0" fontId="10" fillId="0" borderId="1" xfId="0" applyFont="1" applyBorder="1" applyAlignment="1">
      <alignment horizontal="center" wrapText="1"/>
    </xf>
    <xf numFmtId="0" fontId="33" fillId="0" borderId="0" xfId="0" applyFont="1" applyFill="1" applyAlignment="1">
      <alignment horizontal="left" vertical="top" wrapText="1"/>
    </xf>
    <xf numFmtId="0" fontId="33" fillId="0" borderId="0" xfId="0" applyFont="1" applyFill="1" applyAlignment="1">
      <alignment wrapText="1"/>
    </xf>
    <xf numFmtId="0" fontId="33" fillId="0" borderId="0" xfId="0" applyFont="1" applyFill="1" applyAlignment="1">
      <alignment horizontal="left" wrapText="1"/>
    </xf>
    <xf numFmtId="0" fontId="33" fillId="0" borderId="0" xfId="0" applyFont="1" applyFill="1" applyAlignment="1">
      <alignment horizontal="left"/>
    </xf>
    <xf numFmtId="173" fontId="3" fillId="15" borderId="0" xfId="0" applyNumberFormat="1" applyFont="1" applyFill="1" applyBorder="1"/>
    <xf numFmtId="173" fontId="26" fillId="15" borderId="5" xfId="0" applyNumberFormat="1" applyFont="1" applyFill="1" applyBorder="1"/>
    <xf numFmtId="173" fontId="50" fillId="15" borderId="0" xfId="0" applyNumberFormat="1" applyFont="1" applyFill="1" applyBorder="1"/>
  </cellXfs>
  <cellStyles count="7">
    <cellStyle name="Collegamento ipertestuale" xfId="6" builtinId="8"/>
    <cellStyle name="Migliaia" xfId="4" builtinId="3"/>
    <cellStyle name="Migliaia [0] 2" xfId="3" xr:uid="{E49CC4F1-0A56-4C4D-B40A-E5634AD41415}"/>
    <cellStyle name="Normale" xfId="0" builtinId="0"/>
    <cellStyle name="Normale 2" xfId="1" xr:uid="{26C048C9-F503-4C26-9A71-D7A1E13214EE}"/>
    <cellStyle name="Normale_Schema_dati" xfId="2" xr:uid="{B3EA8275-1E83-4C7B-A589-57994869AEFD}"/>
    <cellStyle name="Percentuale" xfId="5" builtinId="5"/>
  </cellStyles>
  <dxfs count="91">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strike val="0"/>
        <outline val="0"/>
        <shadow val="0"/>
        <u val="none"/>
        <vertAlign val="baseline"/>
        <sz val="11"/>
        <name val="Arial"/>
        <family val="2"/>
        <scheme val="none"/>
      </font>
    </dxf>
    <dxf>
      <font>
        <strike val="0"/>
        <outline val="0"/>
        <shadow val="0"/>
        <u val="none"/>
        <vertAlign val="baseline"/>
        <sz val="11"/>
        <name val="Arial"/>
        <family val="2"/>
        <scheme val="none"/>
      </font>
    </dxf>
    <dxf>
      <font>
        <strike val="0"/>
        <outline val="0"/>
        <shadow val="0"/>
        <u val="none"/>
        <vertAlign val="baseline"/>
        <sz val="11"/>
        <name val="Arial"/>
        <family val="2"/>
        <scheme val="none"/>
      </font>
    </dxf>
    <dxf>
      <font>
        <strike val="0"/>
        <outline val="0"/>
        <shadow val="0"/>
        <u val="none"/>
        <vertAlign val="baseline"/>
        <sz val="11"/>
        <name val="Arial"/>
        <family val="2"/>
        <scheme val="none"/>
      </font>
    </dxf>
    <dxf>
      <font>
        <strike val="0"/>
        <outline val="0"/>
        <shadow val="0"/>
        <u val="none"/>
        <vertAlign val="baseline"/>
        <sz val="11"/>
        <name val="Arial"/>
        <family val="2"/>
        <scheme val="none"/>
      </font>
    </dxf>
    <dxf>
      <border outline="0">
        <top style="thin">
          <color theme="4" tint="0.39997558519241921"/>
        </top>
      </border>
    </dxf>
    <dxf>
      <font>
        <strike val="0"/>
        <outline val="0"/>
        <shadow val="0"/>
        <u val="none"/>
        <vertAlign val="baseline"/>
        <sz val="11"/>
        <name val="Arial"/>
        <family val="2"/>
        <scheme val="none"/>
      </font>
    </dxf>
    <dxf>
      <border outline="0">
        <bottom style="thin">
          <color theme="4" tint="0.39997558519241921"/>
        </bottom>
      </border>
    </dxf>
    <dxf>
      <font>
        <b/>
        <i val="0"/>
        <strike val="0"/>
        <condense val="0"/>
        <extend val="0"/>
        <outline val="0"/>
        <shadow val="0"/>
        <u val="none"/>
        <vertAlign val="baseline"/>
        <sz val="11"/>
        <color theme="0"/>
        <name val="Arial"/>
        <family val="2"/>
        <scheme val="none"/>
      </font>
      <fill>
        <patternFill patternType="solid">
          <fgColor theme="4"/>
          <bgColor theme="4"/>
        </patternFill>
      </fill>
    </dxf>
    <dxf>
      <font>
        <strike val="0"/>
        <outline val="0"/>
        <shadow val="0"/>
        <u val="none"/>
        <vertAlign val="baseline"/>
        <sz val="11"/>
        <name val="Arial"/>
        <family val="2"/>
        <scheme val="none"/>
      </font>
    </dxf>
    <dxf>
      <font>
        <strike val="0"/>
        <outline val="0"/>
        <shadow val="0"/>
        <u val="none"/>
        <vertAlign val="baseline"/>
        <sz val="11"/>
        <name val="Arial"/>
        <family val="2"/>
        <scheme val="none"/>
      </font>
    </dxf>
    <dxf>
      <font>
        <strike val="0"/>
        <outline val="0"/>
        <shadow val="0"/>
        <u val="none"/>
        <vertAlign val="baseline"/>
        <sz val="11"/>
        <name val="Arial"/>
        <family val="2"/>
        <scheme val="none"/>
      </font>
    </dxf>
    <dxf>
      <font>
        <strike val="0"/>
        <outline val="0"/>
        <shadow val="0"/>
        <u val="none"/>
        <vertAlign val="baseline"/>
        <sz val="11"/>
        <name val="Arial"/>
        <family val="2"/>
        <scheme val="none"/>
      </font>
    </dxf>
    <dxf>
      <font>
        <strike val="0"/>
        <outline val="0"/>
        <shadow val="0"/>
        <u val="none"/>
        <vertAlign val="baseline"/>
        <sz val="11"/>
        <name val="Arial"/>
        <family val="2"/>
        <scheme val="none"/>
      </font>
    </dxf>
    <dxf>
      <font>
        <strike val="0"/>
        <outline val="0"/>
        <shadow val="0"/>
        <u val="none"/>
        <vertAlign val="baseline"/>
        <sz val="11"/>
        <name val="Arial"/>
        <family val="2"/>
        <scheme val="none"/>
      </font>
    </dxf>
    <dxf>
      <font>
        <strike val="0"/>
        <outline val="0"/>
        <shadow val="0"/>
        <u val="none"/>
        <vertAlign val="baseline"/>
        <sz val="1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b/>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Arial"/>
        <family val="2"/>
        <scheme val="none"/>
      </font>
      <fill>
        <patternFill patternType="solid">
          <fgColor indexed="64"/>
          <bgColor theme="0"/>
        </patternFill>
      </fill>
    </dxf>
    <dxf>
      <font>
        <strike val="0"/>
        <outline val="0"/>
        <shadow val="0"/>
        <u val="none"/>
        <vertAlign val="baseline"/>
        <sz val="11"/>
        <name val="Arial"/>
        <family val="2"/>
        <scheme val="none"/>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fill>
        <patternFill patternType="solid">
          <fgColor indexed="64"/>
          <bgColor theme="0"/>
        </patternFill>
      </fill>
    </dxf>
    <dxf>
      <font>
        <strike val="0"/>
        <outline val="0"/>
        <shadow val="0"/>
        <u val="none"/>
        <vertAlign val="baseline"/>
        <sz val="11"/>
        <name val="Arial"/>
        <family val="2"/>
        <scheme val="none"/>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fill>
        <patternFill patternType="solid">
          <fgColor indexed="64"/>
          <bgColor theme="0"/>
        </patternFill>
      </fill>
    </dxf>
    <dxf>
      <font>
        <strike val="0"/>
        <outline val="0"/>
        <shadow val="0"/>
        <u val="none"/>
        <vertAlign val="baseline"/>
        <sz val="11"/>
        <name val="Arial"/>
        <family val="2"/>
        <scheme val="none"/>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fill>
        <patternFill patternType="solid">
          <fgColor indexed="64"/>
          <bgColor theme="0"/>
        </patternFill>
      </fill>
    </dxf>
    <dxf>
      <font>
        <strike val="0"/>
        <outline val="0"/>
        <shadow val="0"/>
        <u val="none"/>
        <vertAlign val="baseline"/>
        <sz val="11"/>
        <name val="Arial"/>
        <family val="2"/>
        <scheme val="none"/>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fill>
        <patternFill patternType="solid">
          <fgColor indexed="64"/>
          <bgColor theme="0"/>
        </patternFill>
      </fill>
    </dxf>
    <dxf>
      <font>
        <strike val="0"/>
        <outline val="0"/>
        <shadow val="0"/>
        <u val="none"/>
        <vertAlign val="baseline"/>
        <sz val="11"/>
        <name val="Arial"/>
        <family val="2"/>
        <scheme val="none"/>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fill>
        <patternFill patternType="solid">
          <fgColor indexed="64"/>
          <bgColor theme="0"/>
        </patternFill>
      </fill>
    </dxf>
    <dxf>
      <font>
        <strike val="0"/>
        <outline val="0"/>
        <shadow val="0"/>
        <u val="none"/>
        <vertAlign val="baseline"/>
        <sz val="11"/>
        <name val="Arial"/>
        <family val="2"/>
        <scheme val="none"/>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fill>
        <patternFill patternType="solid">
          <fgColor indexed="64"/>
          <bgColor theme="0"/>
        </patternFill>
      </fill>
    </dxf>
    <dxf>
      <font>
        <strike val="0"/>
        <outline val="0"/>
        <shadow val="0"/>
        <u val="none"/>
        <vertAlign val="baseline"/>
        <sz val="11"/>
        <name val="Arial"/>
        <family val="2"/>
        <scheme val="none"/>
      </font>
      <fill>
        <patternFill patternType="solid">
          <fgColor indexed="64"/>
          <bgColor theme="0"/>
        </patternFill>
      </fill>
    </dxf>
    <dxf>
      <font>
        <strike val="0"/>
        <outline val="0"/>
        <shadow val="0"/>
        <u val="none"/>
        <vertAlign val="baseline"/>
        <sz val="11"/>
        <name val="Arial"/>
        <family val="2"/>
        <scheme val="none"/>
      </font>
      <fill>
        <patternFill patternType="solid">
          <fgColor indexed="64"/>
          <bgColor theme="0"/>
        </patternFill>
      </fill>
    </dxf>
    <dxf>
      <font>
        <strike val="0"/>
        <outline val="0"/>
        <shadow val="0"/>
        <u val="none"/>
        <vertAlign val="baseline"/>
        <sz val="11"/>
        <color auto="1"/>
        <name val="Arial"/>
        <family val="2"/>
        <scheme val="none"/>
      </font>
      <fill>
        <patternFill patternType="solid">
          <fgColor indexed="64"/>
          <bgColor theme="0"/>
        </patternFill>
      </fill>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patternType="none">
          <bgColor auto="1"/>
        </patternFill>
      </fill>
      <border diagonalUp="0" diagonalDown="0">
        <left/>
        <right/>
        <top/>
        <bottom/>
        <vertical/>
        <horizontal/>
      </border>
    </dxf>
    <dxf>
      <font>
        <name val="Arial"/>
        <family val="2"/>
        <scheme val="none"/>
      </font>
      <fill>
        <patternFill patternType="solid">
          <bgColor theme="0" tint="-4.9989318521683403E-2"/>
        </patternFill>
      </fill>
    </dxf>
    <dxf>
      <fill>
        <patternFill patternType="none">
          <bgColor auto="1"/>
        </patternFill>
      </fill>
      <border diagonalUp="0" diagonalDown="0">
        <left/>
        <right/>
        <top/>
        <bottom/>
        <vertical/>
        <horizontal/>
      </border>
    </dxf>
    <dxf>
      <font>
        <name val="Arial"/>
        <family val="2"/>
        <scheme val="none"/>
      </font>
      <fill>
        <patternFill patternType="solid">
          <bgColor theme="0" tint="-4.9989318521683403E-2"/>
        </patternFill>
      </fill>
    </dxf>
    <dxf>
      <fill>
        <patternFill patternType="none">
          <bgColor auto="1"/>
        </patternFill>
      </fill>
      <border diagonalUp="0" diagonalDown="0">
        <left/>
        <right/>
        <top/>
        <bottom/>
        <vertical/>
        <horizontal/>
      </border>
    </dxf>
    <dxf>
      <font>
        <name val="Arial"/>
        <family val="2"/>
        <scheme val="none"/>
      </font>
      <fill>
        <patternFill patternType="solid">
          <bgColor theme="0" tint="-4.9989318521683403E-2"/>
        </patternFill>
      </fill>
    </dxf>
    <dxf>
      <fill>
        <patternFill patternType="none">
          <bgColor auto="1"/>
        </patternFill>
      </fill>
      <border diagonalUp="0" diagonalDown="0">
        <left/>
        <right/>
        <top/>
        <bottom/>
        <vertical/>
        <horizontal/>
      </border>
    </dxf>
    <dxf>
      <font>
        <name val="Arial"/>
        <family val="2"/>
        <scheme val="none"/>
      </font>
      <fill>
        <patternFill patternType="solid">
          <bgColor theme="0" tint="-4.9989318521683403E-2"/>
        </patternFill>
      </fill>
    </dxf>
    <dxf>
      <fill>
        <patternFill patternType="none">
          <bgColor auto="1"/>
        </patternFill>
      </fill>
      <border diagonalUp="0" diagonalDown="0">
        <left/>
        <right/>
        <top/>
        <bottom/>
        <vertical/>
        <horizontal/>
      </border>
    </dxf>
    <dxf>
      <font>
        <name val="Arial"/>
        <family val="2"/>
        <scheme val="none"/>
      </font>
      <fill>
        <patternFill patternType="solid">
          <bgColor theme="0" tint="-4.9989318521683403E-2"/>
        </patternFill>
      </fill>
    </dxf>
  </dxfs>
  <tableStyles count="5" defaultTableStyle="TableStyleMedium2" defaultPivotStyle="PivotStyleLight16">
    <tableStyle name="Stile filtro dati 1" pivot="0" table="0" count="7" xr9:uid="{AD93B5B4-BDEA-4891-B647-A91B24508946}">
      <tableStyleElement type="wholeTable" dxfId="90"/>
      <tableStyleElement type="headerRow" dxfId="89"/>
    </tableStyle>
    <tableStyle name="Stile filtro dati 1 2" pivot="0" table="0" count="7" xr9:uid="{A4536BB0-26B7-4BD4-90C3-02843BF5EE11}">
      <tableStyleElement type="wholeTable" dxfId="88"/>
      <tableStyleElement type="headerRow" dxfId="87"/>
    </tableStyle>
    <tableStyle name="Stile filtro dati 1 2 2" pivot="0" table="0" count="7" xr9:uid="{6E058AC0-81A4-443E-863B-8355273207A1}">
      <tableStyleElement type="wholeTable" dxfId="86"/>
      <tableStyleElement type="headerRow" dxfId="85"/>
    </tableStyle>
    <tableStyle name="Stile filtro dati 1 3" pivot="0" table="0" count="7" xr9:uid="{24A4B266-220C-4426-8695-468589512B29}">
      <tableStyleElement type="wholeTable" dxfId="84"/>
      <tableStyleElement type="headerRow" dxfId="83"/>
    </tableStyle>
    <tableStyle name="Stile filtro dati 1 3 2" pivot="0" table="0" count="7" xr9:uid="{41235AA1-43C2-4AFA-A702-58F429045F36}">
      <tableStyleElement type="wholeTable" dxfId="82"/>
      <tableStyleElement type="headerRow" dxfId="81"/>
    </tableStyle>
  </tableStyles>
  <colors>
    <mruColors>
      <color rgb="FFB9C9D0"/>
      <color rgb="FFFFF1E1"/>
      <color rgb="FF960000"/>
      <color rgb="FFDFEBFD"/>
      <color rgb="FFCCCC00"/>
      <color rgb="FFF9F9F9"/>
      <color rgb="FFFFF3E5"/>
    </mruColors>
  </colors>
  <extLst>
    <ext xmlns:x14="http://schemas.microsoft.com/office/spreadsheetml/2009/9/main" uri="{46F421CA-312F-682f-3DD2-61675219B42D}">
      <x14:dxfs count="25">
        <dxf>
          <font>
            <b/>
            <i val="0"/>
            <sz val="10"/>
            <color theme="0"/>
            <name val="Arial"/>
            <family val="2"/>
            <scheme val="none"/>
          </font>
          <fill>
            <patternFill>
              <bgColor theme="6" tint="-0.24994659260841701"/>
            </patternFill>
          </fill>
          <border>
            <left style="thin">
              <color theme="2" tint="0.39994506668294322"/>
            </left>
            <right style="thin">
              <color theme="2" tint="0.39994506668294322"/>
            </right>
            <top style="thin">
              <color theme="2" tint="0.39994506668294322"/>
            </top>
            <bottom style="thin">
              <color theme="2" tint="0.39994506668294322"/>
            </bottom>
          </border>
        </dxf>
        <dxf>
          <font>
            <b/>
            <i val="0"/>
            <sz val="10"/>
            <name val="Arial"/>
            <family val="2"/>
            <scheme val="none"/>
          </font>
          <fill>
            <patternFill>
              <bgColor theme="2" tint="0.59996337778862885"/>
            </patternFill>
          </fill>
          <border>
            <left style="thin">
              <color theme="2" tint="0.39994506668294322"/>
            </left>
            <right style="thin">
              <color theme="2" tint="0.39994506668294322"/>
            </right>
            <top style="thin">
              <color theme="2" tint="0.39994506668294322"/>
            </top>
            <bottom style="thin">
              <color theme="2" tint="0.39994506668294322"/>
            </bottom>
          </border>
        </dxf>
        <dxf>
          <font>
            <b/>
            <i val="0"/>
            <sz val="10"/>
            <color theme="0"/>
            <name val="Arial"/>
            <family val="2"/>
            <scheme val="none"/>
          </font>
          <border>
            <left style="thin">
              <color theme="2" tint="0.39994506668294322"/>
            </left>
            <right style="thin">
              <color theme="2" tint="0.39994506668294322"/>
            </right>
            <top style="thin">
              <color theme="2" tint="0.39994506668294322"/>
            </top>
            <bottom style="thin">
              <color theme="2" tint="0.39994506668294322"/>
            </bottom>
          </border>
        </dxf>
        <dxf>
          <font>
            <b/>
            <i val="0"/>
            <sz val="10"/>
            <color theme="0"/>
            <name val="Arial"/>
            <family val="2"/>
            <scheme val="none"/>
          </font>
          <fill>
            <patternFill>
              <fgColor theme="2" tint="0.39982299264503923"/>
              <bgColor theme="6"/>
            </patternFill>
          </fill>
          <border>
            <left style="thin">
              <color theme="2"/>
            </left>
            <right style="thin">
              <color theme="2"/>
            </right>
            <top style="thin">
              <color theme="2"/>
            </top>
            <bottom style="thin">
              <color theme="2"/>
            </bottom>
          </border>
        </dxf>
        <dxf>
          <font>
            <b/>
            <i val="0"/>
            <sz val="10"/>
            <color auto="1"/>
            <name val="Arial"/>
            <family val="2"/>
            <scheme val="none"/>
          </font>
          <fill>
            <patternFill>
              <bgColor theme="2" tint="0.79998168889431442"/>
            </patternFill>
          </fill>
          <border>
            <left style="thin">
              <color theme="2" tint="0.39994506668294322"/>
            </left>
            <right style="thin">
              <color theme="2" tint="0.39994506668294322"/>
            </right>
            <top style="thin">
              <color theme="2" tint="0.39994506668294322"/>
            </top>
            <bottom style="thin">
              <color theme="2" tint="0.39994506668294322"/>
            </bottom>
          </border>
        </dxf>
        <dxf>
          <font>
            <b/>
            <i val="0"/>
            <sz val="10"/>
            <name val="Arial"/>
            <family val="2"/>
            <scheme val="none"/>
          </font>
          <fill>
            <patternFill>
              <bgColor theme="6"/>
            </patternFill>
          </fill>
          <border>
            <left style="thin">
              <color theme="2" tint="0.39994506668294322"/>
            </left>
            <right style="thin">
              <color theme="2" tint="0.39994506668294322"/>
            </right>
            <top style="thin">
              <color theme="2" tint="0.39994506668294322"/>
            </top>
            <bottom style="thin">
              <color theme="2" tint="0.39994506668294322"/>
            </bottom>
          </border>
        </dxf>
        <dxf>
          <font>
            <b/>
            <i val="0"/>
            <sz val="10"/>
            <name val="Arial"/>
            <family val="2"/>
            <scheme val="none"/>
          </font>
          <fill>
            <patternFill>
              <bgColor theme="2" tint="0.59996337778862885"/>
            </patternFill>
          </fill>
          <border>
            <left style="thin">
              <color theme="2" tint="0.39994506668294322"/>
            </left>
            <right style="thin">
              <color theme="2" tint="0.39994506668294322"/>
            </right>
            <top style="thin">
              <color theme="2" tint="0.39994506668294322"/>
            </top>
            <bottom style="thin">
              <color theme="2" tint="0.39994506668294322"/>
            </bottom>
          </border>
        </dxf>
        <dxf>
          <font>
            <b/>
            <i val="0"/>
            <sz val="10"/>
            <name val="Arial"/>
            <family val="2"/>
            <scheme val="none"/>
          </font>
          <border>
            <left style="thin">
              <color theme="2" tint="0.39994506668294322"/>
            </left>
            <right style="thin">
              <color theme="2" tint="0.39994506668294322"/>
            </right>
            <top style="thin">
              <color theme="2" tint="0.39994506668294322"/>
            </top>
            <bottom style="thin">
              <color theme="2" tint="0.39994506668294322"/>
            </bottom>
          </border>
        </dxf>
        <dxf>
          <font>
            <b/>
            <i val="0"/>
            <sz val="10"/>
            <color theme="0"/>
            <name val="Arial"/>
            <family val="2"/>
            <scheme val="none"/>
          </font>
          <fill>
            <patternFill>
              <fgColor theme="2" tint="0.39991454817346722"/>
              <bgColor theme="3"/>
            </patternFill>
          </fill>
          <border>
            <left style="thin">
              <color theme="2"/>
            </left>
            <right style="thin">
              <color theme="2"/>
            </right>
            <top style="thin">
              <color theme="2"/>
            </top>
            <bottom style="thin">
              <color theme="2"/>
            </bottom>
          </border>
        </dxf>
        <dxf>
          <font>
            <b/>
            <i val="0"/>
            <sz val="10"/>
            <name val="Arial"/>
            <family val="2"/>
            <scheme val="none"/>
          </font>
          <fill>
            <patternFill>
              <bgColor theme="2" tint="0.79998168889431442"/>
            </patternFill>
          </fill>
          <border>
            <left style="thin">
              <color theme="2" tint="0.39994506668294322"/>
            </left>
            <right style="thin">
              <color theme="2" tint="0.39994506668294322"/>
            </right>
            <top style="thin">
              <color theme="2" tint="0.39994506668294322"/>
            </top>
            <bottom style="thin">
              <color theme="2" tint="0.39994506668294322"/>
            </bottom>
          </border>
        </dxf>
        <dxf>
          <font>
            <b/>
            <i val="0"/>
            <sz val="10"/>
            <color auto="1"/>
            <name val="Arial"/>
            <family val="2"/>
            <scheme val="none"/>
          </font>
          <fill>
            <patternFill>
              <bgColor theme="7" tint="-0.24994659260841701"/>
            </patternFill>
          </fill>
          <border>
            <left style="thin">
              <color theme="2" tint="0.39994506668294322"/>
            </left>
            <right style="thin">
              <color theme="2" tint="0.39994506668294322"/>
            </right>
            <top style="thin">
              <color theme="2" tint="0.39994506668294322"/>
            </top>
            <bottom style="thin">
              <color theme="2" tint="0.39994506668294322"/>
            </bottom>
          </border>
        </dxf>
        <dxf>
          <font>
            <b/>
            <i val="0"/>
            <sz val="10"/>
            <name val="Arial"/>
            <family val="2"/>
            <scheme val="none"/>
          </font>
          <fill>
            <patternFill>
              <bgColor theme="2" tint="0.59996337778862885"/>
            </patternFill>
          </fill>
          <border>
            <left style="thin">
              <color theme="2" tint="0.39994506668294322"/>
            </left>
            <right style="thin">
              <color theme="2" tint="0.39994506668294322"/>
            </right>
            <top style="thin">
              <color theme="2" tint="0.39994506668294322"/>
            </top>
            <bottom style="thin">
              <color theme="2" tint="0.39994506668294322"/>
            </bottom>
          </border>
        </dxf>
        <dxf>
          <font>
            <b/>
            <i val="0"/>
            <sz val="10"/>
            <name val="Arial"/>
            <family val="2"/>
            <scheme val="none"/>
          </font>
          <border>
            <left style="thin">
              <color theme="2" tint="0.39994506668294322"/>
            </left>
            <right style="thin">
              <color theme="2" tint="0.39994506668294322"/>
            </right>
            <top style="thin">
              <color theme="2" tint="0.39994506668294322"/>
            </top>
            <bottom style="thin">
              <color theme="2" tint="0.39994506668294322"/>
            </bottom>
          </border>
        </dxf>
        <dxf>
          <font>
            <b/>
            <i val="0"/>
            <sz val="10"/>
            <color auto="1"/>
            <name val="Arial"/>
            <family val="2"/>
            <scheme val="none"/>
          </font>
          <fill>
            <patternFill>
              <fgColor theme="2" tint="0.39982299264503923"/>
              <bgColor theme="7"/>
            </patternFill>
          </fill>
          <border>
            <left style="thin">
              <color theme="2"/>
            </left>
            <right style="thin">
              <color theme="2"/>
            </right>
            <top style="thin">
              <color theme="2"/>
            </top>
            <bottom style="thin">
              <color theme="2"/>
            </bottom>
          </border>
        </dxf>
        <dxf>
          <font>
            <b/>
            <i val="0"/>
            <sz val="10"/>
            <name val="Arial"/>
            <family val="2"/>
            <scheme val="none"/>
          </font>
          <fill>
            <patternFill>
              <bgColor theme="2" tint="0.79998168889431442"/>
            </patternFill>
          </fill>
          <border>
            <left style="thin">
              <color theme="2" tint="0.39994506668294322"/>
            </left>
            <right style="thin">
              <color theme="2" tint="0.39994506668294322"/>
            </right>
            <top style="thin">
              <color theme="2" tint="0.39994506668294322"/>
            </top>
            <bottom style="thin">
              <color theme="2" tint="0.39994506668294322"/>
            </bottom>
          </border>
        </dxf>
        <dxf>
          <font>
            <b/>
            <i val="0"/>
            <sz val="10"/>
            <color theme="0"/>
            <name val="Arial"/>
            <family val="2"/>
            <scheme val="none"/>
          </font>
          <fill>
            <patternFill>
              <bgColor theme="8" tint="-0.24994659260841701"/>
            </patternFill>
          </fill>
          <border>
            <left style="thin">
              <color theme="2" tint="0.39994506668294322"/>
            </left>
            <right style="thin">
              <color theme="2" tint="0.39994506668294322"/>
            </right>
            <top style="thin">
              <color theme="2" tint="0.39994506668294322"/>
            </top>
            <bottom style="thin">
              <color theme="2" tint="0.39994506668294322"/>
            </bottom>
          </border>
        </dxf>
        <dxf>
          <font>
            <b/>
            <i val="0"/>
            <sz val="10"/>
            <name val="Arial"/>
            <family val="2"/>
            <scheme val="none"/>
          </font>
          <fill>
            <patternFill>
              <bgColor theme="2" tint="0.59996337778862885"/>
            </patternFill>
          </fill>
          <border>
            <left style="thin">
              <color theme="2" tint="0.39994506668294322"/>
            </left>
            <right style="thin">
              <color theme="2" tint="0.39994506668294322"/>
            </right>
            <top style="thin">
              <color theme="2" tint="0.39994506668294322"/>
            </top>
            <bottom style="thin">
              <color theme="2" tint="0.39994506668294322"/>
            </bottom>
          </border>
        </dxf>
        <dxf>
          <font>
            <b/>
            <i val="0"/>
            <sz val="10"/>
            <name val="Arial"/>
            <family val="2"/>
            <scheme val="none"/>
          </font>
          <border>
            <left style="thin">
              <color theme="2" tint="0.39994506668294322"/>
            </left>
            <right style="thin">
              <color theme="2" tint="0.39994506668294322"/>
            </right>
            <top style="thin">
              <color theme="2" tint="0.39994506668294322"/>
            </top>
            <bottom style="thin">
              <color theme="2" tint="0.39994506668294322"/>
            </bottom>
          </border>
        </dxf>
        <dxf>
          <font>
            <b/>
            <i val="0"/>
            <sz val="10"/>
            <color theme="0"/>
            <name val="Arial"/>
            <family val="2"/>
            <scheme val="none"/>
          </font>
          <fill>
            <patternFill>
              <fgColor theme="2" tint="0.39979247413556324"/>
              <bgColor theme="8"/>
            </patternFill>
          </fill>
          <border>
            <left style="thin">
              <color theme="2"/>
            </left>
            <right style="thin">
              <color theme="2"/>
            </right>
            <top style="thin">
              <color theme="2"/>
            </top>
            <bottom style="thin">
              <color theme="2"/>
            </bottom>
          </border>
        </dxf>
        <dxf>
          <font>
            <b/>
            <i val="0"/>
            <sz val="10"/>
            <name val="Arial"/>
            <family val="2"/>
            <scheme val="none"/>
          </font>
          <fill>
            <patternFill>
              <bgColor theme="2" tint="0.79998168889431442"/>
            </patternFill>
          </fill>
          <border>
            <left style="thin">
              <color theme="2" tint="0.39994506668294322"/>
            </left>
            <right style="thin">
              <color theme="2" tint="0.39994506668294322"/>
            </right>
            <top style="thin">
              <color theme="2" tint="0.39994506668294322"/>
            </top>
            <bottom style="thin">
              <color theme="2" tint="0.39994506668294322"/>
            </bottom>
          </border>
        </dxf>
        <dxf>
          <font>
            <b/>
            <i val="0"/>
            <sz val="10"/>
            <color theme="0"/>
            <name val="Arial"/>
            <family val="2"/>
            <scheme val="none"/>
          </font>
          <fill>
            <patternFill>
              <bgColor theme="5" tint="-0.24994659260841701"/>
            </patternFill>
          </fill>
          <border>
            <left style="thin">
              <color theme="2" tint="0.39994506668294322"/>
            </left>
            <right style="thin">
              <color theme="2" tint="0.39994506668294322"/>
            </right>
            <top style="thin">
              <color theme="2" tint="0.39994506668294322"/>
            </top>
            <bottom style="thin">
              <color theme="2" tint="0.39994506668294322"/>
            </bottom>
          </border>
        </dxf>
        <dxf>
          <font>
            <b/>
            <i val="0"/>
            <sz val="10"/>
            <name val="Arial"/>
            <family val="2"/>
            <scheme val="none"/>
          </font>
          <fill>
            <patternFill>
              <bgColor theme="2" tint="0.59996337778862885"/>
            </patternFill>
          </fill>
          <border>
            <left style="thin">
              <color theme="2" tint="0.39994506668294322"/>
            </left>
            <right style="thin">
              <color theme="2" tint="0.39994506668294322"/>
            </right>
            <top style="thin">
              <color theme="2" tint="0.39994506668294322"/>
            </top>
            <bottom style="thin">
              <color theme="2" tint="0.39994506668294322"/>
            </bottom>
          </border>
        </dxf>
        <dxf>
          <font>
            <b/>
            <i val="0"/>
            <sz val="10"/>
            <name val="Arial"/>
            <family val="2"/>
            <scheme val="none"/>
          </font>
          <border>
            <left style="thin">
              <color theme="2" tint="0.39994506668294322"/>
            </left>
            <right style="thin">
              <color theme="2" tint="0.39994506668294322"/>
            </right>
            <top style="thin">
              <color theme="2" tint="0.39994506668294322"/>
            </top>
            <bottom style="thin">
              <color theme="2" tint="0.39994506668294322"/>
            </bottom>
          </border>
        </dxf>
        <dxf>
          <font>
            <b/>
            <i val="0"/>
            <sz val="10"/>
            <color theme="0"/>
            <name val="Arial"/>
            <family val="2"/>
            <scheme val="none"/>
          </font>
          <fill>
            <patternFill>
              <fgColor theme="2" tint="0.39982299264503923"/>
              <bgColor theme="5"/>
            </patternFill>
          </fill>
          <border>
            <left style="thin">
              <color theme="2"/>
            </left>
            <right style="thin">
              <color theme="2"/>
            </right>
            <top style="thin">
              <color theme="2"/>
            </top>
            <bottom style="thin">
              <color theme="2"/>
            </bottom>
          </border>
        </dxf>
        <dxf>
          <font>
            <b/>
            <i val="0"/>
            <sz val="10"/>
            <name val="Arial"/>
            <family val="2"/>
            <scheme val="none"/>
          </font>
          <fill>
            <patternFill>
              <bgColor theme="2" tint="0.79998168889431442"/>
            </patternFill>
          </fill>
          <border>
            <left style="thin">
              <color theme="2" tint="0.39994506668294322"/>
            </left>
            <right style="thin">
              <color theme="2" tint="0.39994506668294322"/>
            </right>
            <top style="thin">
              <color theme="2" tint="0.39994506668294322"/>
            </top>
            <bottom style="thin">
              <color theme="2" tint="0.39994506668294322"/>
            </bottom>
          </border>
        </dxf>
      </x14:dxfs>
    </ext>
    <ext xmlns:x14="http://schemas.microsoft.com/office/spreadsheetml/2009/9/main" uri="{EB79DEF2-80B8-43e5-95BD-54CBDDF9020C}">
      <x14:slicerStyles defaultSlicerStyle="Stile filtro dati 1 3">
        <x14:slicerStyle name="Stile filtro dati 1">
          <x14:slicerStyleElements>
            <x14:slicerStyleElement type="unselectedItemWithData" dxfId="24"/>
            <x14:slicerStyleElement type="selectedItemWithData" dxfId="23"/>
            <x14:slicerStyleElement type="selectedItemWithNoData" dxfId="22"/>
            <x14:slicerStyleElement type="hoveredUnselectedItemWithData" dxfId="21"/>
            <x14:slicerStyleElement type="hoveredSelectedItemWithData" dxfId="20"/>
          </x14:slicerStyleElements>
        </x14:slicerStyle>
        <x14:slicerStyle name="Stile filtro dati 1 2">
          <x14:slicerStyleElements>
            <x14:slicerStyleElement type="unselectedItemWithData" dxfId="19"/>
            <x14:slicerStyleElement type="selectedItemWithData" dxfId="18"/>
            <x14:slicerStyleElement type="selectedItemWithNoData" dxfId="17"/>
            <x14:slicerStyleElement type="hoveredUnselectedItemWithData" dxfId="16"/>
            <x14:slicerStyleElement type="hoveredSelectedItemWithData" dxfId="15"/>
          </x14:slicerStyleElements>
        </x14:slicerStyle>
        <x14:slicerStyle name="Stile filtro dati 1 2 2">
          <x14:slicerStyleElements>
            <x14:slicerStyleElement type="unselectedItemWithData" dxfId="14"/>
            <x14:slicerStyleElement type="selectedItemWithData" dxfId="13"/>
            <x14:slicerStyleElement type="selectedItemWithNoData" dxfId="12"/>
            <x14:slicerStyleElement type="hoveredUnselectedItemWithData" dxfId="11"/>
            <x14:slicerStyleElement type="hoveredSelectedItemWithData" dxfId="10"/>
          </x14:slicerStyleElements>
        </x14:slicerStyle>
        <x14:slicerStyle name="Stile filtro dati 1 3">
          <x14:slicerStyleElements>
            <x14:slicerStyleElement type="unselectedItemWithData" dxfId="9"/>
            <x14:slicerStyleElement type="selectedItemWithData" dxfId="8"/>
            <x14:slicerStyleElement type="selectedItemWithNoData" dxfId="7"/>
            <x14:slicerStyleElement type="hoveredUnselectedItemWithData" dxfId="6"/>
            <x14:slicerStyleElement type="hoveredSelectedItemWithData" dxfId="5"/>
          </x14:slicerStyleElements>
        </x14:slicerStyle>
        <x14:slicerStyle name="Stile filtro dati 1 3 2">
          <x14:slicerStyleElements>
            <x14:slicerStyleElement type="unselectedItemWithData" dxfId="4"/>
            <x14:slicerStyleElement type="selectedItemWithData" dxfId="3"/>
            <x14:slicerStyleElement type="selectedItemWithNoData" dxfId="2"/>
            <x14:slicerStyleElement type="hoveredUnselectedItemWithData" dxfId="1"/>
            <x14:slicerStyleElement type="hovered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microsoft.com/office/2007/relationships/slicerCache" Target="slicerCaches/slicerCache6.xml"/><Relationship Id="rId3" Type="http://schemas.openxmlformats.org/officeDocument/2006/relationships/worksheet" Target="worksheets/sheet3.xml"/><Relationship Id="rId21" Type="http://schemas.openxmlformats.org/officeDocument/2006/relationships/worksheet" Target="worksheets/sheet21.xml"/><Relationship Id="rId34" Type="http://schemas.microsoft.com/office/2007/relationships/slicerCache" Target="slicerCaches/slicerCache1.xml"/><Relationship Id="rId42" Type="http://schemas.microsoft.com/office/2007/relationships/slicerCache" Target="slicerCaches/slicerCache9.xml"/><Relationship Id="rId47" Type="http://schemas.microsoft.com/office/2007/relationships/slicerCache" Target="slicerCaches/slicerCache14.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pivotCacheDefinition" Target="pivotCache/pivotCacheDefinition7.xml"/><Relationship Id="rId38" Type="http://schemas.microsoft.com/office/2007/relationships/slicerCache" Target="slicerCaches/slicerCache5.xml"/><Relationship Id="rId46" Type="http://schemas.microsoft.com/office/2007/relationships/slicerCache" Target="slicerCaches/slicerCache1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3.xml"/><Relationship Id="rId41" Type="http://schemas.microsoft.com/office/2007/relationships/slicerCache" Target="slicerCaches/slicerCache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pivotCacheDefinition" Target="pivotCache/pivotCacheDefinition6.xml"/><Relationship Id="rId37" Type="http://schemas.microsoft.com/office/2007/relationships/slicerCache" Target="slicerCaches/slicerCache4.xml"/><Relationship Id="rId40" Type="http://schemas.microsoft.com/office/2007/relationships/slicerCache" Target="slicerCaches/slicerCache7.xml"/><Relationship Id="rId45" Type="http://schemas.microsoft.com/office/2007/relationships/slicerCache" Target="slicerCaches/slicerCache12.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2.xml"/><Relationship Id="rId36" Type="http://schemas.microsoft.com/office/2007/relationships/slicerCache" Target="slicerCaches/slicerCache3.xml"/><Relationship Id="rId49" Type="http://schemas.microsoft.com/office/2007/relationships/slicerCache" Target="slicerCaches/slicerCache1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5.xml"/><Relationship Id="rId44" Type="http://schemas.microsoft.com/office/2007/relationships/slicerCache" Target="slicerCaches/slicerCache11.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1.xml"/><Relationship Id="rId30" Type="http://schemas.openxmlformats.org/officeDocument/2006/relationships/pivotCacheDefinition" Target="pivotCache/pivotCacheDefinition4.xml"/><Relationship Id="rId35" Type="http://schemas.microsoft.com/office/2007/relationships/slicerCache" Target="slicerCaches/slicerCache2.xml"/><Relationship Id="rId43" Type="http://schemas.microsoft.com/office/2007/relationships/slicerCache" Target="slicerCaches/slicerCache10.xml"/><Relationship Id="rId48" Type="http://schemas.microsoft.com/office/2007/relationships/slicerCache" Target="slicerCaches/slicerCache15.xml"/><Relationship Id="rId8" Type="http://schemas.openxmlformats.org/officeDocument/2006/relationships/worksheet" Target="worksheets/sheet8.xml"/><Relationship Id="rId51"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1.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Ex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Ex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pivotSource>
    <c:name>[Databook IH19 (new format).xlsx]Divisions Input!TabellaPivotDivision1</c:name>
    <c:fmtId val="3"/>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bg2"/>
          </a:solidFill>
          <a:ln>
            <a:noFill/>
          </a:ln>
          <a:effectLst/>
        </c:spPr>
        <c:marker>
          <c:symbol val="none"/>
        </c:marker>
        <c:dLbl>
          <c:idx val="0"/>
          <c:numFmt formatCode="#,##0.0" sourceLinked="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3"/>
          </a:solidFill>
          <a:ln>
            <a:noFill/>
          </a:ln>
          <a:effectLst/>
        </c:spPr>
        <c:marker>
          <c:symbol val="none"/>
        </c:marker>
        <c:dLbl>
          <c:idx val="0"/>
          <c:numFmt formatCode="#,##0.0" sourceLinked="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6"/>
          </a:solidFill>
          <a:ln>
            <a:noFill/>
          </a:ln>
          <a:effectLst/>
        </c:spPr>
        <c:marker>
          <c:symbol val="none"/>
        </c:marker>
        <c:dLbl>
          <c:idx val="0"/>
          <c:numFmt formatCode="#,##0.0" sourceLinked="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5.6364617678679792E-2"/>
          <c:y val="0.11877150772820064"/>
          <c:w val="0.70841603869462932"/>
          <c:h val="0.77382910469524646"/>
        </c:manualLayout>
      </c:layout>
      <c:barChart>
        <c:barDir val="col"/>
        <c:grouping val="clustered"/>
        <c:varyColors val="0"/>
        <c:ser>
          <c:idx val="0"/>
          <c:order val="0"/>
          <c:tx>
            <c:strRef>
              <c:f>'Divisions Input'!$I$3:$I$4</c:f>
              <c:strCache>
                <c:ptCount val="1"/>
                <c:pt idx="0">
                  <c:v>Power</c:v>
                </c:pt>
              </c:strCache>
            </c:strRef>
          </c:tx>
          <c:spPr>
            <a:solidFill>
              <a:schemeClr val="accent6"/>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'Divisions Input'!$H$5:$H$9</c:f>
              <c:strCache>
                <c:ptCount val="4"/>
                <c:pt idx="0">
                  <c:v>2015</c:v>
                </c:pt>
                <c:pt idx="1">
                  <c:v>2016</c:v>
                </c:pt>
                <c:pt idx="2">
                  <c:v>2017</c:v>
                </c:pt>
                <c:pt idx="3">
                  <c:v>2018</c:v>
                </c:pt>
              </c:strCache>
            </c:strRef>
          </c:cat>
          <c:val>
            <c:numRef>
              <c:f>'Divisions Input'!$I$5:$I$9</c:f>
              <c:numCache>
                <c:formatCode>General</c:formatCode>
                <c:ptCount val="4"/>
                <c:pt idx="0">
                  <c:v>6529</c:v>
                </c:pt>
                <c:pt idx="1">
                  <c:v>5682</c:v>
                </c:pt>
                <c:pt idx="2">
                  <c:v>3970</c:v>
                </c:pt>
                <c:pt idx="3">
                  <c:v>3768</c:v>
                </c:pt>
              </c:numCache>
            </c:numRef>
          </c:val>
          <c:extLst>
            <c:ext xmlns:c16="http://schemas.microsoft.com/office/drawing/2014/chart" uri="{C3380CC4-5D6E-409C-BE32-E72D297353CC}">
              <c16:uniqueId val="{00000000-B4E5-489D-A1A3-2C04D60B6048}"/>
            </c:ext>
          </c:extLst>
        </c:ser>
        <c:ser>
          <c:idx val="1"/>
          <c:order val="1"/>
          <c:tx>
            <c:strRef>
              <c:f>'Divisions Input'!$J$3:$J$4</c:f>
              <c:strCache>
                <c:ptCount val="1"/>
                <c:pt idx="0">
                  <c:v>Hydrocarbons</c:v>
                </c:pt>
              </c:strCache>
            </c:strRef>
          </c:tx>
          <c:spPr>
            <a:solidFill>
              <a:schemeClr val="accent3"/>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'Divisions Input'!$H$5:$H$9</c:f>
              <c:strCache>
                <c:ptCount val="4"/>
                <c:pt idx="0">
                  <c:v>2015</c:v>
                </c:pt>
                <c:pt idx="1">
                  <c:v>2016</c:v>
                </c:pt>
                <c:pt idx="2">
                  <c:v>2017</c:v>
                </c:pt>
                <c:pt idx="3">
                  <c:v>2018</c:v>
                </c:pt>
              </c:strCache>
            </c:strRef>
          </c:cat>
          <c:val>
            <c:numRef>
              <c:f>'Divisions Input'!$J$5:$J$9</c:f>
              <c:numCache>
                <c:formatCode>General</c:formatCode>
                <c:ptCount val="4"/>
                <c:pt idx="0">
                  <c:v>5512</c:v>
                </c:pt>
                <c:pt idx="1">
                  <c:v>6031</c:v>
                </c:pt>
                <c:pt idx="2">
                  <c:v>5592</c:v>
                </c:pt>
                <c:pt idx="3">
                  <c:v>6098</c:v>
                </c:pt>
              </c:numCache>
            </c:numRef>
          </c:val>
          <c:extLst>
            <c:ext xmlns:c16="http://schemas.microsoft.com/office/drawing/2014/chart" uri="{C3380CC4-5D6E-409C-BE32-E72D297353CC}">
              <c16:uniqueId val="{00000001-B4E5-489D-A1A3-2C04D60B6048}"/>
            </c:ext>
          </c:extLst>
        </c:ser>
        <c:ser>
          <c:idx val="2"/>
          <c:order val="2"/>
          <c:tx>
            <c:strRef>
              <c:f>'Divisions Input'!$K$3:$K$4</c:f>
              <c:strCache>
                <c:ptCount val="1"/>
                <c:pt idx="0">
                  <c:v>Corporate</c:v>
                </c:pt>
              </c:strCache>
            </c:strRef>
          </c:tx>
          <c:spPr>
            <a:solidFill>
              <a:schemeClr val="bg2"/>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'Divisions Input'!$H$5:$H$9</c:f>
              <c:strCache>
                <c:ptCount val="4"/>
                <c:pt idx="0">
                  <c:v>2015</c:v>
                </c:pt>
                <c:pt idx="1">
                  <c:v>2016</c:v>
                </c:pt>
                <c:pt idx="2">
                  <c:v>2017</c:v>
                </c:pt>
                <c:pt idx="3">
                  <c:v>2018</c:v>
                </c:pt>
              </c:strCache>
            </c:strRef>
          </c:cat>
          <c:val>
            <c:numRef>
              <c:f>'Divisions Input'!$K$5:$K$9</c:f>
              <c:numCache>
                <c:formatCode>General</c:formatCode>
                <c:ptCount val="4"/>
                <c:pt idx="0">
                  <c:v>-728</c:v>
                </c:pt>
                <c:pt idx="1">
                  <c:v>-679</c:v>
                </c:pt>
                <c:pt idx="2">
                  <c:v>-779</c:v>
                </c:pt>
                <c:pt idx="3">
                  <c:v>-707</c:v>
                </c:pt>
              </c:numCache>
            </c:numRef>
          </c:val>
          <c:extLst>
            <c:ext xmlns:c16="http://schemas.microsoft.com/office/drawing/2014/chart" uri="{C3380CC4-5D6E-409C-BE32-E72D297353CC}">
              <c16:uniqueId val="{00000002-B4E5-489D-A1A3-2C04D60B6048}"/>
            </c:ext>
          </c:extLst>
        </c:ser>
        <c:dLbls>
          <c:dLblPos val="ctr"/>
          <c:showLegendKey val="0"/>
          <c:showVal val="1"/>
          <c:showCatName val="0"/>
          <c:showSerName val="0"/>
          <c:showPercent val="0"/>
          <c:showBubbleSize val="0"/>
        </c:dLbls>
        <c:gapWidth val="85"/>
        <c:axId val="349983168"/>
        <c:axId val="349979888"/>
      </c:barChart>
      <c:catAx>
        <c:axId val="3499831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crossAx val="349979888"/>
        <c:crosses val="autoZero"/>
        <c:auto val="1"/>
        <c:lblAlgn val="ctr"/>
        <c:lblOffset val="100"/>
        <c:noMultiLvlLbl val="0"/>
      </c:catAx>
      <c:valAx>
        <c:axId val="349979888"/>
        <c:scaling>
          <c:orientation val="minMax"/>
        </c:scaling>
        <c:delete val="1"/>
        <c:axPos val="l"/>
        <c:numFmt formatCode="General" sourceLinked="1"/>
        <c:majorTickMark val="none"/>
        <c:minorTickMark val="none"/>
        <c:tickLblPos val="nextTo"/>
        <c:crossAx val="349983168"/>
        <c:crosses val="autoZero"/>
        <c:crossBetween val="between"/>
        <c:dispUnits>
          <c:builtInUnit val="thousands"/>
        </c:dispUnits>
      </c:valAx>
      <c:spPr>
        <a:noFill/>
        <a:ln>
          <a:noFill/>
        </a:ln>
        <a:effectLst/>
      </c:spPr>
    </c:plotArea>
    <c:legend>
      <c:legendPos val="r"/>
      <c:layout>
        <c:manualLayout>
          <c:xMode val="edge"/>
          <c:yMode val="edge"/>
          <c:x val="0.78362884208307804"/>
          <c:y val="1.5329607795963145E-2"/>
          <c:w val="0.20896461685578271"/>
          <c:h val="0.31477581067811677"/>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'FS Input'!$L$19</c:f>
              <c:strCache>
                <c:ptCount val="1"/>
                <c:pt idx="0">
                  <c:v>Cash flow from operating activities</c:v>
                </c:pt>
              </c:strCache>
            </c:strRef>
          </c:tx>
          <c:spPr>
            <a:solidFill>
              <a:schemeClr val="tx2"/>
            </a:solidFill>
            <a:ln>
              <a:noFill/>
            </a:ln>
            <a:effectLst/>
          </c:spPr>
          <c:invertIfNegative val="0"/>
          <c:cat>
            <c:numRef>
              <c:f>'FS Input'!$M$18:$P$18</c:f>
              <c:numCache>
                <c:formatCode>General</c:formatCode>
                <c:ptCount val="4"/>
                <c:pt idx="0">
                  <c:v>2015</c:v>
                </c:pt>
                <c:pt idx="1">
                  <c:v>2016</c:v>
                </c:pt>
                <c:pt idx="2">
                  <c:v>2017</c:v>
                </c:pt>
                <c:pt idx="3">
                  <c:v>2018</c:v>
                </c:pt>
              </c:numCache>
            </c:numRef>
          </c:cat>
          <c:val>
            <c:numRef>
              <c:f>'FS Input'!$M$19:$P$19</c:f>
              <c:numCache>
                <c:formatCode>General</c:formatCode>
                <c:ptCount val="4"/>
                <c:pt idx="0">
                  <c:v>1126</c:v>
                </c:pt>
                <c:pt idx="1">
                  <c:v>323</c:v>
                </c:pt>
                <c:pt idx="2">
                  <c:v>764</c:v>
                </c:pt>
                <c:pt idx="3">
                  <c:v>611</c:v>
                </c:pt>
              </c:numCache>
            </c:numRef>
          </c:val>
          <c:extLst>
            <c:ext xmlns:c16="http://schemas.microsoft.com/office/drawing/2014/chart" uri="{C3380CC4-5D6E-409C-BE32-E72D297353CC}">
              <c16:uniqueId val="{00000000-D31E-4480-B031-95EF20CBD072}"/>
            </c:ext>
          </c:extLst>
        </c:ser>
        <c:ser>
          <c:idx val="1"/>
          <c:order val="1"/>
          <c:tx>
            <c:strRef>
              <c:f>'FS Input'!$L$20</c:f>
              <c:strCache>
                <c:ptCount val="1"/>
                <c:pt idx="0">
                  <c:v>Changes in working capital</c:v>
                </c:pt>
              </c:strCache>
            </c:strRef>
          </c:tx>
          <c:spPr>
            <a:solidFill>
              <a:schemeClr val="bg2"/>
            </a:solidFill>
            <a:ln>
              <a:noFill/>
            </a:ln>
            <a:effectLst/>
          </c:spPr>
          <c:invertIfNegative val="0"/>
          <c:cat>
            <c:numRef>
              <c:f>'FS Input'!$M$18:$P$18</c:f>
              <c:numCache>
                <c:formatCode>General</c:formatCode>
                <c:ptCount val="4"/>
                <c:pt idx="0">
                  <c:v>2015</c:v>
                </c:pt>
                <c:pt idx="1">
                  <c:v>2016</c:v>
                </c:pt>
                <c:pt idx="2">
                  <c:v>2017</c:v>
                </c:pt>
                <c:pt idx="3">
                  <c:v>2018</c:v>
                </c:pt>
              </c:numCache>
            </c:numRef>
          </c:cat>
          <c:val>
            <c:numRef>
              <c:f>'FS Input'!$M$20:$P$20</c:f>
              <c:numCache>
                <c:formatCode>General</c:formatCode>
                <c:ptCount val="4"/>
                <c:pt idx="0">
                  <c:v>59</c:v>
                </c:pt>
                <c:pt idx="1">
                  <c:v>472</c:v>
                </c:pt>
                <c:pt idx="2">
                  <c:v>200</c:v>
                </c:pt>
                <c:pt idx="3">
                  <c:v>-26</c:v>
                </c:pt>
              </c:numCache>
            </c:numRef>
          </c:val>
          <c:extLst>
            <c:ext xmlns:c16="http://schemas.microsoft.com/office/drawing/2014/chart" uri="{C3380CC4-5D6E-409C-BE32-E72D297353CC}">
              <c16:uniqueId val="{00000001-D31E-4480-B031-95EF20CBD072}"/>
            </c:ext>
          </c:extLst>
        </c:ser>
        <c:ser>
          <c:idx val="2"/>
          <c:order val="2"/>
          <c:tx>
            <c:strRef>
              <c:f>'FS Input'!$L$21</c:f>
              <c:strCache>
                <c:ptCount val="1"/>
                <c:pt idx="0">
                  <c:v>Net investments</c:v>
                </c:pt>
              </c:strCache>
            </c:strRef>
          </c:tx>
          <c:spPr>
            <a:solidFill>
              <a:schemeClr val="accent4"/>
            </a:solidFill>
            <a:ln>
              <a:noFill/>
            </a:ln>
            <a:effectLst/>
          </c:spPr>
          <c:invertIfNegative val="0"/>
          <c:cat>
            <c:numRef>
              <c:f>'FS Input'!$M$18:$P$18</c:f>
              <c:numCache>
                <c:formatCode>General</c:formatCode>
                <c:ptCount val="4"/>
                <c:pt idx="0">
                  <c:v>2015</c:v>
                </c:pt>
                <c:pt idx="1">
                  <c:v>2016</c:v>
                </c:pt>
                <c:pt idx="2">
                  <c:v>2017</c:v>
                </c:pt>
                <c:pt idx="3">
                  <c:v>2018</c:v>
                </c:pt>
              </c:numCache>
            </c:numRef>
          </c:cat>
          <c:val>
            <c:numRef>
              <c:f>'FS Input'!$M$21:$P$21</c:f>
              <c:numCache>
                <c:formatCode>General</c:formatCode>
                <c:ptCount val="4"/>
                <c:pt idx="0">
                  <c:v>-535</c:v>
                </c:pt>
                <c:pt idx="1">
                  <c:v>-555</c:v>
                </c:pt>
                <c:pt idx="2">
                  <c:v>-489</c:v>
                </c:pt>
                <c:pt idx="3">
                  <c:v>-429</c:v>
                </c:pt>
              </c:numCache>
            </c:numRef>
          </c:val>
          <c:extLst>
            <c:ext xmlns:c16="http://schemas.microsoft.com/office/drawing/2014/chart" uri="{C3380CC4-5D6E-409C-BE32-E72D297353CC}">
              <c16:uniqueId val="{00000002-D31E-4480-B031-95EF20CBD072}"/>
            </c:ext>
          </c:extLst>
        </c:ser>
        <c:ser>
          <c:idx val="3"/>
          <c:order val="3"/>
          <c:tx>
            <c:strRef>
              <c:f>'FS Input'!$L$22</c:f>
              <c:strCache>
                <c:ptCount val="1"/>
                <c:pt idx="0">
                  <c:v>Non-recurring operations</c:v>
                </c:pt>
              </c:strCache>
            </c:strRef>
          </c:tx>
          <c:spPr>
            <a:solidFill>
              <a:schemeClr val="accent3"/>
            </a:solidFill>
            <a:ln>
              <a:noFill/>
            </a:ln>
            <a:effectLst/>
          </c:spPr>
          <c:invertIfNegative val="0"/>
          <c:cat>
            <c:numRef>
              <c:f>'FS Input'!$M$18:$P$18</c:f>
              <c:numCache>
                <c:formatCode>General</c:formatCode>
                <c:ptCount val="4"/>
                <c:pt idx="0">
                  <c:v>2015</c:v>
                </c:pt>
                <c:pt idx="1">
                  <c:v>2016</c:v>
                </c:pt>
                <c:pt idx="2">
                  <c:v>2017</c:v>
                </c:pt>
                <c:pt idx="3">
                  <c:v>2018</c:v>
                </c:pt>
              </c:numCache>
            </c:numRef>
          </c:cat>
          <c:val>
            <c:numRef>
              <c:f>'FS Input'!$M$22:$P$22</c:f>
              <c:numCache>
                <c:formatCode>General</c:formatCode>
                <c:ptCount val="4"/>
                <c:pt idx="0">
                  <c:v>0</c:v>
                </c:pt>
                <c:pt idx="1">
                  <c:v>0</c:v>
                </c:pt>
                <c:pt idx="2">
                  <c:v>489</c:v>
                </c:pt>
                <c:pt idx="3">
                  <c:v>-409</c:v>
                </c:pt>
              </c:numCache>
            </c:numRef>
          </c:val>
          <c:extLst>
            <c:ext xmlns:c16="http://schemas.microsoft.com/office/drawing/2014/chart" uri="{C3380CC4-5D6E-409C-BE32-E72D297353CC}">
              <c16:uniqueId val="{00000003-D31E-4480-B031-95EF20CBD072}"/>
            </c:ext>
          </c:extLst>
        </c:ser>
        <c:ser>
          <c:idx val="4"/>
          <c:order val="4"/>
          <c:tx>
            <c:strRef>
              <c:f>'FS Input'!$L$23</c:f>
              <c:strCache>
                <c:ptCount val="1"/>
                <c:pt idx="0">
                  <c:v>Dividends paid &amp; other items</c:v>
                </c:pt>
              </c:strCache>
            </c:strRef>
          </c:tx>
          <c:spPr>
            <a:solidFill>
              <a:schemeClr val="accent6"/>
            </a:solidFill>
            <a:ln>
              <a:noFill/>
            </a:ln>
            <a:effectLst/>
          </c:spPr>
          <c:invertIfNegative val="0"/>
          <c:cat>
            <c:numRef>
              <c:f>'FS Input'!$M$18:$P$18</c:f>
              <c:numCache>
                <c:formatCode>General</c:formatCode>
                <c:ptCount val="4"/>
                <c:pt idx="0">
                  <c:v>2015</c:v>
                </c:pt>
                <c:pt idx="1">
                  <c:v>2016</c:v>
                </c:pt>
                <c:pt idx="2">
                  <c:v>2017</c:v>
                </c:pt>
                <c:pt idx="3">
                  <c:v>2018</c:v>
                </c:pt>
              </c:numCache>
            </c:numRef>
          </c:cat>
          <c:val>
            <c:numRef>
              <c:f>'FS Input'!$M$23:$P$23</c:f>
              <c:numCache>
                <c:formatCode>General</c:formatCode>
                <c:ptCount val="4"/>
                <c:pt idx="0">
                  <c:v>-31</c:v>
                </c:pt>
                <c:pt idx="1">
                  <c:v>-155</c:v>
                </c:pt>
                <c:pt idx="2">
                  <c:v>-18</c:v>
                </c:pt>
                <c:pt idx="3">
                  <c:v>-47</c:v>
                </c:pt>
              </c:numCache>
            </c:numRef>
          </c:val>
          <c:extLst>
            <c:ext xmlns:c16="http://schemas.microsoft.com/office/drawing/2014/chart" uri="{C3380CC4-5D6E-409C-BE32-E72D297353CC}">
              <c16:uniqueId val="{00000004-D31E-4480-B031-95EF20CBD072}"/>
            </c:ext>
          </c:extLst>
        </c:ser>
        <c:dLbls>
          <c:showLegendKey val="0"/>
          <c:showVal val="0"/>
          <c:showCatName val="0"/>
          <c:showSerName val="0"/>
          <c:showPercent val="0"/>
          <c:showBubbleSize val="0"/>
        </c:dLbls>
        <c:gapWidth val="150"/>
        <c:overlap val="100"/>
        <c:axId val="618462328"/>
        <c:axId val="628624296"/>
      </c:barChart>
      <c:lineChart>
        <c:grouping val="stacked"/>
        <c:varyColors val="0"/>
        <c:ser>
          <c:idx val="5"/>
          <c:order val="5"/>
          <c:tx>
            <c:strRef>
              <c:f>'FS Input'!$L$24</c:f>
              <c:strCache>
                <c:ptCount val="1"/>
                <c:pt idx="0">
                  <c:v>Net cash flow</c:v>
                </c:pt>
              </c:strCache>
            </c:strRef>
          </c:tx>
          <c:spPr>
            <a:ln w="28575" cap="rnd">
              <a:solidFill>
                <a:schemeClr val="accent2"/>
              </a:solidFill>
              <a:round/>
            </a:ln>
            <a:effectLst/>
          </c:spPr>
          <c:marker>
            <c:symbol val="circle"/>
            <c:size val="7"/>
            <c:spPr>
              <a:solidFill>
                <a:schemeClr val="accent2"/>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it-IT"/>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'FS Input'!$M$18:$P$18</c:f>
              <c:numCache>
                <c:formatCode>General</c:formatCode>
                <c:ptCount val="4"/>
                <c:pt idx="0">
                  <c:v>2015</c:v>
                </c:pt>
                <c:pt idx="1">
                  <c:v>2016</c:v>
                </c:pt>
                <c:pt idx="2">
                  <c:v>2017</c:v>
                </c:pt>
                <c:pt idx="3">
                  <c:v>2018</c:v>
                </c:pt>
              </c:numCache>
            </c:numRef>
          </c:cat>
          <c:val>
            <c:numRef>
              <c:f>'FS Input'!$M$24:$P$24</c:f>
              <c:numCache>
                <c:formatCode>General</c:formatCode>
                <c:ptCount val="4"/>
                <c:pt idx="0">
                  <c:v>619</c:v>
                </c:pt>
                <c:pt idx="1">
                  <c:v>85</c:v>
                </c:pt>
                <c:pt idx="2">
                  <c:v>946</c:v>
                </c:pt>
                <c:pt idx="3">
                  <c:v>-300</c:v>
                </c:pt>
              </c:numCache>
            </c:numRef>
          </c:val>
          <c:smooth val="0"/>
          <c:extLst>
            <c:ext xmlns:c16="http://schemas.microsoft.com/office/drawing/2014/chart" uri="{C3380CC4-5D6E-409C-BE32-E72D297353CC}">
              <c16:uniqueId val="{00000005-D31E-4480-B031-95EF20CBD072}"/>
            </c:ext>
          </c:extLst>
        </c:ser>
        <c:dLbls>
          <c:showLegendKey val="0"/>
          <c:showVal val="0"/>
          <c:showCatName val="0"/>
          <c:showSerName val="0"/>
          <c:showPercent val="0"/>
          <c:showBubbleSize val="0"/>
        </c:dLbls>
        <c:marker val="1"/>
        <c:smooth val="0"/>
        <c:axId val="618462328"/>
        <c:axId val="628624296"/>
      </c:lineChart>
      <c:catAx>
        <c:axId val="61846232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crossAx val="628624296"/>
        <c:crosses val="autoZero"/>
        <c:auto val="1"/>
        <c:lblAlgn val="ctr"/>
        <c:lblOffset val="100"/>
        <c:noMultiLvlLbl val="0"/>
      </c:catAx>
      <c:valAx>
        <c:axId val="628624296"/>
        <c:scaling>
          <c:orientation val="minMax"/>
          <c:max val="1500"/>
          <c:min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crossAx val="6184623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pivotSource>
    <c:name>[Databook IH19 (new format).xlsx]Plants Input!TabellaPivotPlants2</c:name>
    <c:fmtId val="2"/>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4"/>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bg2"/>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6"/>
          </a:solidFill>
          <a:ln>
            <a:noFill/>
          </a:ln>
          <a:effectLst/>
        </c:spPr>
        <c:marker>
          <c:symbol val="none"/>
        </c:marker>
      </c:pivotFmt>
      <c:pivotFmt>
        <c:idx val="20"/>
        <c:spPr>
          <a:solidFill>
            <a:schemeClr val="accent2"/>
          </a:solidFill>
          <a:ln>
            <a:noFill/>
          </a:ln>
          <a:effectLst/>
        </c:spPr>
        <c:marker>
          <c:symbol val="none"/>
        </c:marker>
      </c:pivotFmt>
      <c:pivotFmt>
        <c:idx val="21"/>
        <c:spPr>
          <a:solidFill>
            <a:schemeClr val="accent5"/>
          </a:solidFill>
          <a:ln>
            <a:noFill/>
          </a:ln>
          <a:effectLst/>
        </c:spPr>
        <c:marker>
          <c:symbol val="none"/>
        </c:marker>
      </c:pivotFmt>
      <c:pivotFmt>
        <c:idx val="22"/>
        <c:spPr>
          <a:solidFill>
            <a:schemeClr val="accent1"/>
          </a:solidFill>
          <a:ln>
            <a:noFill/>
          </a:ln>
          <a:effectLst/>
        </c:spPr>
        <c:marker>
          <c:symbol val="none"/>
        </c:marker>
      </c:pivotFmt>
      <c:pivotFmt>
        <c:idx val="23"/>
        <c:spPr>
          <a:solidFill>
            <a:srgbClr val="7030A0"/>
          </a:solidFill>
          <a:ln>
            <a:noFill/>
          </a:ln>
          <a:effectLst/>
        </c:spPr>
        <c:marker>
          <c:symbol val="none"/>
        </c:marker>
      </c:pivotFmt>
      <c:pivotFmt>
        <c:idx val="24"/>
        <c:spPr>
          <a:solidFill>
            <a:schemeClr val="bg2">
              <a:lumMod val="75000"/>
            </a:schemeClr>
          </a:solidFill>
          <a:ln>
            <a:noFill/>
          </a:ln>
          <a:effectLst/>
        </c:spPr>
        <c:marker>
          <c:symbol val="none"/>
        </c:marker>
      </c:pivotFmt>
    </c:pivotFmts>
    <c:plotArea>
      <c:layout>
        <c:manualLayout>
          <c:layoutTarget val="inner"/>
          <c:xMode val="edge"/>
          <c:yMode val="edge"/>
          <c:x val="0.26680839923994848"/>
          <c:y val="0.11246345842075917"/>
          <c:w val="0.56349792750452843"/>
          <c:h val="0.83125364610024399"/>
        </c:manualLayout>
      </c:layout>
      <c:barChart>
        <c:barDir val="bar"/>
        <c:grouping val="stacked"/>
        <c:varyColors val="0"/>
        <c:ser>
          <c:idx val="0"/>
          <c:order val="0"/>
          <c:tx>
            <c:strRef>
              <c:f>'Plants Input'!$N$46:$N$47</c:f>
              <c:strCache>
                <c:ptCount val="1"/>
                <c:pt idx="0">
                  <c:v>CCGT</c:v>
                </c:pt>
              </c:strCache>
            </c:strRef>
          </c:tx>
          <c:spPr>
            <a:solidFill>
              <a:schemeClr val="accent1"/>
            </a:solidFill>
            <a:ln>
              <a:noFill/>
            </a:ln>
            <a:effectLst/>
          </c:spPr>
          <c:invertIfNegative val="0"/>
          <c:cat>
            <c:strRef>
              <c:f>'Plants Input'!$M$48:$M$65</c:f>
              <c:strCache>
                <c:ptCount val="17"/>
                <c:pt idx="0">
                  <c:v>Abruzzo</c:v>
                </c:pt>
                <c:pt idx="1">
                  <c:v>Basilicata</c:v>
                </c:pt>
                <c:pt idx="2">
                  <c:v>Calabria</c:v>
                </c:pt>
                <c:pt idx="3">
                  <c:v>Campania</c:v>
                </c:pt>
                <c:pt idx="4">
                  <c:v>Emilia Romagna</c:v>
                </c:pt>
                <c:pt idx="5">
                  <c:v>Friuli Venezia Giulia</c:v>
                </c:pt>
                <c:pt idx="6">
                  <c:v>Lazio</c:v>
                </c:pt>
                <c:pt idx="7">
                  <c:v>Lombardia</c:v>
                </c:pt>
                <c:pt idx="8">
                  <c:v>Molise</c:v>
                </c:pt>
                <c:pt idx="9">
                  <c:v>Piemonte</c:v>
                </c:pt>
                <c:pt idx="10">
                  <c:v>Puglia</c:v>
                </c:pt>
                <c:pt idx="11">
                  <c:v>Sicilia</c:v>
                </c:pt>
                <c:pt idx="12">
                  <c:v>Toscana</c:v>
                </c:pt>
                <c:pt idx="13">
                  <c:v>Trentino Alto Adige</c:v>
                </c:pt>
                <c:pt idx="14">
                  <c:v>Umbria</c:v>
                </c:pt>
                <c:pt idx="15">
                  <c:v>Valle d'Aosta</c:v>
                </c:pt>
                <c:pt idx="16">
                  <c:v>Veneto</c:v>
                </c:pt>
              </c:strCache>
            </c:strRef>
          </c:cat>
          <c:val>
            <c:numRef>
              <c:f>'Plants Input'!$N$48:$N$65</c:f>
              <c:numCache>
                <c:formatCode>General</c:formatCode>
                <c:ptCount val="17"/>
                <c:pt idx="0">
                  <c:v>151.596</c:v>
                </c:pt>
                <c:pt idx="2">
                  <c:v>1582.8714</c:v>
                </c:pt>
                <c:pt idx="4">
                  <c:v>168.47900000000001</c:v>
                </c:pt>
                <c:pt idx="5">
                  <c:v>766.90886999999998</c:v>
                </c:pt>
                <c:pt idx="7">
                  <c:v>153.81390000000002</c:v>
                </c:pt>
                <c:pt idx="9">
                  <c:v>145.04</c:v>
                </c:pt>
                <c:pt idx="10">
                  <c:v>369.08784000000003</c:v>
                </c:pt>
                <c:pt idx="12">
                  <c:v>136.77000000000001</c:v>
                </c:pt>
                <c:pt idx="14">
                  <c:v>97.028000000000006</c:v>
                </c:pt>
                <c:pt idx="16">
                  <c:v>948.99199999999996</c:v>
                </c:pt>
              </c:numCache>
            </c:numRef>
          </c:val>
          <c:extLst>
            <c:ext xmlns:c16="http://schemas.microsoft.com/office/drawing/2014/chart" uri="{C3380CC4-5D6E-409C-BE32-E72D297353CC}">
              <c16:uniqueId val="{00000000-94F0-4975-9A99-5F8C8EC22200}"/>
            </c:ext>
          </c:extLst>
        </c:ser>
        <c:ser>
          <c:idx val="1"/>
          <c:order val="1"/>
          <c:tx>
            <c:strRef>
              <c:f>'Plants Input'!$O$46:$O$47</c:f>
              <c:strCache>
                <c:ptCount val="1"/>
                <c:pt idx="0">
                  <c:v>Hydro</c:v>
                </c:pt>
              </c:strCache>
            </c:strRef>
          </c:tx>
          <c:spPr>
            <a:solidFill>
              <a:schemeClr val="accent6"/>
            </a:solidFill>
            <a:ln>
              <a:noFill/>
            </a:ln>
            <a:effectLst/>
          </c:spPr>
          <c:invertIfNegative val="0"/>
          <c:cat>
            <c:strRef>
              <c:f>'Plants Input'!$M$48:$M$65</c:f>
              <c:strCache>
                <c:ptCount val="17"/>
                <c:pt idx="0">
                  <c:v>Abruzzo</c:v>
                </c:pt>
                <c:pt idx="1">
                  <c:v>Basilicata</c:v>
                </c:pt>
                <c:pt idx="2">
                  <c:v>Calabria</c:v>
                </c:pt>
                <c:pt idx="3">
                  <c:v>Campania</c:v>
                </c:pt>
                <c:pt idx="4">
                  <c:v>Emilia Romagna</c:v>
                </c:pt>
                <c:pt idx="5">
                  <c:v>Friuli Venezia Giulia</c:v>
                </c:pt>
                <c:pt idx="6">
                  <c:v>Lazio</c:v>
                </c:pt>
                <c:pt idx="7">
                  <c:v>Lombardia</c:v>
                </c:pt>
                <c:pt idx="8">
                  <c:v>Molise</c:v>
                </c:pt>
                <c:pt idx="9">
                  <c:v>Piemonte</c:v>
                </c:pt>
                <c:pt idx="10">
                  <c:v>Puglia</c:v>
                </c:pt>
                <c:pt idx="11">
                  <c:v>Sicilia</c:v>
                </c:pt>
                <c:pt idx="12">
                  <c:v>Toscana</c:v>
                </c:pt>
                <c:pt idx="13">
                  <c:v>Trentino Alto Adige</c:v>
                </c:pt>
                <c:pt idx="14">
                  <c:v>Umbria</c:v>
                </c:pt>
                <c:pt idx="15">
                  <c:v>Valle d'Aosta</c:v>
                </c:pt>
                <c:pt idx="16">
                  <c:v>Veneto</c:v>
                </c:pt>
              </c:strCache>
            </c:strRef>
          </c:cat>
          <c:val>
            <c:numRef>
              <c:f>'Plants Input'!$O$48:$O$65</c:f>
              <c:numCache>
                <c:formatCode>General</c:formatCode>
                <c:ptCount val="17"/>
                <c:pt idx="5">
                  <c:v>136.34737193892755</c:v>
                </c:pt>
                <c:pt idx="7">
                  <c:v>620.93659600000024</c:v>
                </c:pt>
                <c:pt idx="9">
                  <c:v>60.127538824094486</c:v>
                </c:pt>
                <c:pt idx="12">
                  <c:v>27.87</c:v>
                </c:pt>
                <c:pt idx="13">
                  <c:v>158.93000000000004</c:v>
                </c:pt>
                <c:pt idx="14">
                  <c:v>4.91</c:v>
                </c:pt>
                <c:pt idx="15">
                  <c:v>4.608765</c:v>
                </c:pt>
              </c:numCache>
            </c:numRef>
          </c:val>
          <c:extLst>
            <c:ext xmlns:c16="http://schemas.microsoft.com/office/drawing/2014/chart" uri="{C3380CC4-5D6E-409C-BE32-E72D297353CC}">
              <c16:uniqueId val="{00000000-21F2-428A-A096-E1A02F121E1E}"/>
            </c:ext>
          </c:extLst>
        </c:ser>
        <c:ser>
          <c:idx val="2"/>
          <c:order val="2"/>
          <c:tx>
            <c:strRef>
              <c:f>'Plants Input'!$P$46:$P$47</c:f>
              <c:strCache>
                <c:ptCount val="1"/>
                <c:pt idx="0">
                  <c:v>Wind</c:v>
                </c:pt>
              </c:strCache>
            </c:strRef>
          </c:tx>
          <c:spPr>
            <a:solidFill>
              <a:schemeClr val="accent5"/>
            </a:solidFill>
            <a:ln>
              <a:noFill/>
            </a:ln>
            <a:effectLst/>
          </c:spPr>
          <c:invertIfNegative val="0"/>
          <c:cat>
            <c:strRef>
              <c:f>'Plants Input'!$M$48:$M$65</c:f>
              <c:strCache>
                <c:ptCount val="17"/>
                <c:pt idx="0">
                  <c:v>Abruzzo</c:v>
                </c:pt>
                <c:pt idx="1">
                  <c:v>Basilicata</c:v>
                </c:pt>
                <c:pt idx="2">
                  <c:v>Calabria</c:v>
                </c:pt>
                <c:pt idx="3">
                  <c:v>Campania</c:v>
                </c:pt>
                <c:pt idx="4">
                  <c:v>Emilia Romagna</c:v>
                </c:pt>
                <c:pt idx="5">
                  <c:v>Friuli Venezia Giulia</c:v>
                </c:pt>
                <c:pt idx="6">
                  <c:v>Lazio</c:v>
                </c:pt>
                <c:pt idx="7">
                  <c:v>Lombardia</c:v>
                </c:pt>
                <c:pt idx="8">
                  <c:v>Molise</c:v>
                </c:pt>
                <c:pt idx="9">
                  <c:v>Piemonte</c:v>
                </c:pt>
                <c:pt idx="10">
                  <c:v>Puglia</c:v>
                </c:pt>
                <c:pt idx="11">
                  <c:v>Sicilia</c:v>
                </c:pt>
                <c:pt idx="12">
                  <c:v>Toscana</c:v>
                </c:pt>
                <c:pt idx="13">
                  <c:v>Trentino Alto Adige</c:v>
                </c:pt>
                <c:pt idx="14">
                  <c:v>Umbria</c:v>
                </c:pt>
                <c:pt idx="15">
                  <c:v>Valle d'Aosta</c:v>
                </c:pt>
                <c:pt idx="16">
                  <c:v>Veneto</c:v>
                </c:pt>
              </c:strCache>
            </c:strRef>
          </c:cat>
          <c:val>
            <c:numRef>
              <c:f>'Plants Input'!$P$48:$P$65</c:f>
              <c:numCache>
                <c:formatCode>General</c:formatCode>
                <c:ptCount val="17"/>
                <c:pt idx="0">
                  <c:v>131.63999999999999</c:v>
                </c:pt>
                <c:pt idx="1">
                  <c:v>35</c:v>
                </c:pt>
                <c:pt idx="2">
                  <c:v>76</c:v>
                </c:pt>
                <c:pt idx="3">
                  <c:v>179.22</c:v>
                </c:pt>
                <c:pt idx="4">
                  <c:v>3.4</c:v>
                </c:pt>
                <c:pt idx="8">
                  <c:v>49.84</c:v>
                </c:pt>
                <c:pt idx="10">
                  <c:v>134.58000000000001</c:v>
                </c:pt>
                <c:pt idx="11">
                  <c:v>45</c:v>
                </c:pt>
                <c:pt idx="12">
                  <c:v>1.8</c:v>
                </c:pt>
              </c:numCache>
            </c:numRef>
          </c:val>
          <c:extLst>
            <c:ext xmlns:c16="http://schemas.microsoft.com/office/drawing/2014/chart" uri="{C3380CC4-5D6E-409C-BE32-E72D297353CC}">
              <c16:uniqueId val="{00000001-21F2-428A-A096-E1A02F121E1E}"/>
            </c:ext>
          </c:extLst>
        </c:ser>
        <c:ser>
          <c:idx val="3"/>
          <c:order val="3"/>
          <c:tx>
            <c:strRef>
              <c:f>'Plants Input'!$Q$46:$Q$47</c:f>
              <c:strCache>
                <c:ptCount val="1"/>
                <c:pt idx="0">
                  <c:v>Solar</c:v>
                </c:pt>
              </c:strCache>
            </c:strRef>
          </c:tx>
          <c:spPr>
            <a:solidFill>
              <a:schemeClr val="accent2"/>
            </a:solidFill>
            <a:ln>
              <a:noFill/>
            </a:ln>
            <a:effectLst/>
          </c:spPr>
          <c:invertIfNegative val="0"/>
          <c:cat>
            <c:strRef>
              <c:f>'Plants Input'!$M$48:$M$65</c:f>
              <c:strCache>
                <c:ptCount val="17"/>
                <c:pt idx="0">
                  <c:v>Abruzzo</c:v>
                </c:pt>
                <c:pt idx="1">
                  <c:v>Basilicata</c:v>
                </c:pt>
                <c:pt idx="2">
                  <c:v>Calabria</c:v>
                </c:pt>
                <c:pt idx="3">
                  <c:v>Campania</c:v>
                </c:pt>
                <c:pt idx="4">
                  <c:v>Emilia Romagna</c:v>
                </c:pt>
                <c:pt idx="5">
                  <c:v>Friuli Venezia Giulia</c:v>
                </c:pt>
                <c:pt idx="6">
                  <c:v>Lazio</c:v>
                </c:pt>
                <c:pt idx="7">
                  <c:v>Lombardia</c:v>
                </c:pt>
                <c:pt idx="8">
                  <c:v>Molise</c:v>
                </c:pt>
                <c:pt idx="9">
                  <c:v>Piemonte</c:v>
                </c:pt>
                <c:pt idx="10">
                  <c:v>Puglia</c:v>
                </c:pt>
                <c:pt idx="11">
                  <c:v>Sicilia</c:v>
                </c:pt>
                <c:pt idx="12">
                  <c:v>Toscana</c:v>
                </c:pt>
                <c:pt idx="13">
                  <c:v>Trentino Alto Adige</c:v>
                </c:pt>
                <c:pt idx="14">
                  <c:v>Umbria</c:v>
                </c:pt>
                <c:pt idx="15">
                  <c:v>Valle d'Aosta</c:v>
                </c:pt>
                <c:pt idx="16">
                  <c:v>Veneto</c:v>
                </c:pt>
              </c:strCache>
            </c:strRef>
          </c:cat>
          <c:val>
            <c:numRef>
              <c:f>'Plants Input'!$Q$48:$Q$65</c:f>
              <c:numCache>
                <c:formatCode>General</c:formatCode>
                <c:ptCount val="17"/>
                <c:pt idx="2">
                  <c:v>3.298</c:v>
                </c:pt>
                <c:pt idx="6">
                  <c:v>1.9678</c:v>
                </c:pt>
                <c:pt idx="7">
                  <c:v>2.2194500000000001</c:v>
                </c:pt>
                <c:pt idx="8">
                  <c:v>1</c:v>
                </c:pt>
                <c:pt idx="9">
                  <c:v>4.7279999999999998</c:v>
                </c:pt>
                <c:pt idx="16">
                  <c:v>0.104</c:v>
                </c:pt>
              </c:numCache>
            </c:numRef>
          </c:val>
          <c:extLst>
            <c:ext xmlns:c16="http://schemas.microsoft.com/office/drawing/2014/chart" uri="{C3380CC4-5D6E-409C-BE32-E72D297353CC}">
              <c16:uniqueId val="{00000002-21F2-428A-A096-E1A02F121E1E}"/>
            </c:ext>
          </c:extLst>
        </c:ser>
        <c:ser>
          <c:idx val="4"/>
          <c:order val="4"/>
          <c:tx>
            <c:strRef>
              <c:f>'Plants Input'!$R$46:$R$47</c:f>
              <c:strCache>
                <c:ptCount val="1"/>
                <c:pt idx="0">
                  <c:v>Biomass</c:v>
                </c:pt>
              </c:strCache>
            </c:strRef>
          </c:tx>
          <c:spPr>
            <a:solidFill>
              <a:schemeClr val="accent4"/>
            </a:solidFill>
            <a:ln>
              <a:noFill/>
            </a:ln>
            <a:effectLst/>
          </c:spPr>
          <c:invertIfNegative val="0"/>
          <c:cat>
            <c:strRef>
              <c:f>'Plants Input'!$M$48:$M$65</c:f>
              <c:strCache>
                <c:ptCount val="17"/>
                <c:pt idx="0">
                  <c:v>Abruzzo</c:v>
                </c:pt>
                <c:pt idx="1">
                  <c:v>Basilicata</c:v>
                </c:pt>
                <c:pt idx="2">
                  <c:v>Calabria</c:v>
                </c:pt>
                <c:pt idx="3">
                  <c:v>Campania</c:v>
                </c:pt>
                <c:pt idx="4">
                  <c:v>Emilia Romagna</c:v>
                </c:pt>
                <c:pt idx="5">
                  <c:v>Friuli Venezia Giulia</c:v>
                </c:pt>
                <c:pt idx="6">
                  <c:v>Lazio</c:v>
                </c:pt>
                <c:pt idx="7">
                  <c:v>Lombardia</c:v>
                </c:pt>
                <c:pt idx="8">
                  <c:v>Molise</c:v>
                </c:pt>
                <c:pt idx="9">
                  <c:v>Piemonte</c:v>
                </c:pt>
                <c:pt idx="10">
                  <c:v>Puglia</c:v>
                </c:pt>
                <c:pt idx="11">
                  <c:v>Sicilia</c:v>
                </c:pt>
                <c:pt idx="12">
                  <c:v>Toscana</c:v>
                </c:pt>
                <c:pt idx="13">
                  <c:v>Trentino Alto Adige</c:v>
                </c:pt>
                <c:pt idx="14">
                  <c:v>Umbria</c:v>
                </c:pt>
                <c:pt idx="15">
                  <c:v>Valle d'Aosta</c:v>
                </c:pt>
                <c:pt idx="16">
                  <c:v>Veneto</c:v>
                </c:pt>
              </c:strCache>
            </c:strRef>
          </c:cat>
          <c:val>
            <c:numRef>
              <c:f>'Plants Input'!$R$48:$R$65</c:f>
              <c:numCache>
                <c:formatCode>General</c:formatCode>
                <c:ptCount val="17"/>
                <c:pt idx="16">
                  <c:v>5.2060000000000004</c:v>
                </c:pt>
              </c:numCache>
            </c:numRef>
          </c:val>
          <c:extLst>
            <c:ext xmlns:c16="http://schemas.microsoft.com/office/drawing/2014/chart" uri="{C3380CC4-5D6E-409C-BE32-E72D297353CC}">
              <c16:uniqueId val="{00000003-21F2-428A-A096-E1A02F121E1E}"/>
            </c:ext>
          </c:extLst>
        </c:ser>
        <c:ser>
          <c:idx val="5"/>
          <c:order val="5"/>
          <c:tx>
            <c:strRef>
              <c:f>'Plants Input'!$S$46:$S$47</c:f>
              <c:strCache>
                <c:ptCount val="1"/>
                <c:pt idx="0">
                  <c:v>CHP</c:v>
                </c:pt>
              </c:strCache>
            </c:strRef>
          </c:tx>
          <c:spPr>
            <a:solidFill>
              <a:schemeClr val="bg2"/>
            </a:solidFill>
            <a:ln>
              <a:noFill/>
            </a:ln>
            <a:effectLst/>
          </c:spPr>
          <c:invertIfNegative val="0"/>
          <c:cat>
            <c:strRef>
              <c:f>'Plants Input'!$M$48:$M$65</c:f>
              <c:strCache>
                <c:ptCount val="17"/>
                <c:pt idx="0">
                  <c:v>Abruzzo</c:v>
                </c:pt>
                <c:pt idx="1">
                  <c:v>Basilicata</c:v>
                </c:pt>
                <c:pt idx="2">
                  <c:v>Calabria</c:v>
                </c:pt>
                <c:pt idx="3">
                  <c:v>Campania</c:v>
                </c:pt>
                <c:pt idx="4">
                  <c:v>Emilia Romagna</c:v>
                </c:pt>
                <c:pt idx="5">
                  <c:v>Friuli Venezia Giulia</c:v>
                </c:pt>
                <c:pt idx="6">
                  <c:v>Lazio</c:v>
                </c:pt>
                <c:pt idx="7">
                  <c:v>Lombardia</c:v>
                </c:pt>
                <c:pt idx="8">
                  <c:v>Molise</c:v>
                </c:pt>
                <c:pt idx="9">
                  <c:v>Piemonte</c:v>
                </c:pt>
                <c:pt idx="10">
                  <c:v>Puglia</c:v>
                </c:pt>
                <c:pt idx="11">
                  <c:v>Sicilia</c:v>
                </c:pt>
                <c:pt idx="12">
                  <c:v>Toscana</c:v>
                </c:pt>
                <c:pt idx="13">
                  <c:v>Trentino Alto Adige</c:v>
                </c:pt>
                <c:pt idx="14">
                  <c:v>Umbria</c:v>
                </c:pt>
                <c:pt idx="15">
                  <c:v>Valle d'Aosta</c:v>
                </c:pt>
                <c:pt idx="16">
                  <c:v>Veneto</c:v>
                </c:pt>
              </c:strCache>
            </c:strRef>
          </c:cat>
          <c:val>
            <c:numRef>
              <c:f>'Plants Input'!$S$48:$S$65</c:f>
              <c:numCache>
                <c:formatCode>General</c:formatCode>
                <c:ptCount val="17"/>
                <c:pt idx="0">
                  <c:v>2.9870000000000001</c:v>
                </c:pt>
                <c:pt idx="1">
                  <c:v>42.120000000000005</c:v>
                </c:pt>
                <c:pt idx="3">
                  <c:v>5</c:v>
                </c:pt>
                <c:pt idx="4">
                  <c:v>4.5999999999999996</c:v>
                </c:pt>
                <c:pt idx="6">
                  <c:v>2.004</c:v>
                </c:pt>
                <c:pt idx="7">
                  <c:v>6.7</c:v>
                </c:pt>
                <c:pt idx="9">
                  <c:v>16</c:v>
                </c:pt>
                <c:pt idx="12">
                  <c:v>12.5</c:v>
                </c:pt>
                <c:pt idx="16">
                  <c:v>4.4039999999999999</c:v>
                </c:pt>
              </c:numCache>
            </c:numRef>
          </c:val>
          <c:extLst>
            <c:ext xmlns:c16="http://schemas.microsoft.com/office/drawing/2014/chart" uri="{C3380CC4-5D6E-409C-BE32-E72D297353CC}">
              <c16:uniqueId val="{00000004-21F2-428A-A096-E1A02F121E1E}"/>
            </c:ext>
          </c:extLst>
        </c:ser>
        <c:ser>
          <c:idx val="6"/>
          <c:order val="6"/>
          <c:tx>
            <c:strRef>
              <c:f>'Plants Input'!$T$46:$T$47</c:f>
              <c:strCache>
                <c:ptCount val="1"/>
                <c:pt idx="0">
                  <c:v>Thermal</c:v>
                </c:pt>
              </c:strCache>
            </c:strRef>
          </c:tx>
          <c:spPr>
            <a:solidFill>
              <a:srgbClr val="7030A0"/>
            </a:solidFill>
            <a:ln>
              <a:noFill/>
            </a:ln>
            <a:effectLst/>
          </c:spPr>
          <c:invertIfNegative val="0"/>
          <c:cat>
            <c:strRef>
              <c:f>'Plants Input'!$M$48:$M$65</c:f>
              <c:strCache>
                <c:ptCount val="17"/>
                <c:pt idx="0">
                  <c:v>Abruzzo</c:v>
                </c:pt>
                <c:pt idx="1">
                  <c:v>Basilicata</c:v>
                </c:pt>
                <c:pt idx="2">
                  <c:v>Calabria</c:v>
                </c:pt>
                <c:pt idx="3">
                  <c:v>Campania</c:v>
                </c:pt>
                <c:pt idx="4">
                  <c:v>Emilia Romagna</c:v>
                </c:pt>
                <c:pt idx="5">
                  <c:v>Friuli Venezia Giulia</c:v>
                </c:pt>
                <c:pt idx="6">
                  <c:v>Lazio</c:v>
                </c:pt>
                <c:pt idx="7">
                  <c:v>Lombardia</c:v>
                </c:pt>
                <c:pt idx="8">
                  <c:v>Molise</c:v>
                </c:pt>
                <c:pt idx="9">
                  <c:v>Piemonte</c:v>
                </c:pt>
                <c:pt idx="10">
                  <c:v>Puglia</c:v>
                </c:pt>
                <c:pt idx="11">
                  <c:v>Sicilia</c:v>
                </c:pt>
                <c:pt idx="12">
                  <c:v>Toscana</c:v>
                </c:pt>
                <c:pt idx="13">
                  <c:v>Trentino Alto Adige</c:v>
                </c:pt>
                <c:pt idx="14">
                  <c:v>Umbria</c:v>
                </c:pt>
                <c:pt idx="15">
                  <c:v>Valle d'Aosta</c:v>
                </c:pt>
                <c:pt idx="16">
                  <c:v>Veneto</c:v>
                </c:pt>
              </c:strCache>
            </c:strRef>
          </c:cat>
          <c:val>
            <c:numRef>
              <c:f>'Plants Input'!$T$48:$T$65</c:f>
              <c:numCache>
                <c:formatCode>General</c:formatCode>
                <c:ptCount val="17"/>
                <c:pt idx="7">
                  <c:v>0.22500000000000001</c:v>
                </c:pt>
              </c:numCache>
            </c:numRef>
          </c:val>
          <c:extLst>
            <c:ext xmlns:c16="http://schemas.microsoft.com/office/drawing/2014/chart" uri="{C3380CC4-5D6E-409C-BE32-E72D297353CC}">
              <c16:uniqueId val="{00000005-21F2-428A-A096-E1A02F121E1E}"/>
            </c:ext>
          </c:extLst>
        </c:ser>
        <c:dLbls>
          <c:showLegendKey val="0"/>
          <c:showVal val="0"/>
          <c:showCatName val="0"/>
          <c:showSerName val="0"/>
          <c:showPercent val="0"/>
          <c:showBubbleSize val="0"/>
        </c:dLbls>
        <c:gapWidth val="19"/>
        <c:overlap val="100"/>
        <c:axId val="532151016"/>
        <c:axId val="667331592"/>
      </c:barChart>
      <c:catAx>
        <c:axId val="5321510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crossAx val="667331592"/>
        <c:crosses val="autoZero"/>
        <c:auto val="1"/>
        <c:lblAlgn val="ctr"/>
        <c:lblOffset val="100"/>
        <c:noMultiLvlLbl val="0"/>
      </c:catAx>
      <c:valAx>
        <c:axId val="667331592"/>
        <c:scaling>
          <c:orientation val="minMax"/>
        </c:scaling>
        <c:delete val="0"/>
        <c:axPos val="t"/>
        <c:numFmt formatCode="General"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crossAx val="532151016"/>
        <c:crosses val="autoZero"/>
        <c:crossBetween val="between"/>
      </c:valAx>
      <c:spPr>
        <a:noFill/>
        <a:ln>
          <a:noFill/>
        </a:ln>
        <a:effectLst/>
      </c:spPr>
    </c:plotArea>
    <c:legend>
      <c:legendPos val="r"/>
      <c:layout>
        <c:manualLayout>
          <c:xMode val="edge"/>
          <c:yMode val="edge"/>
          <c:x val="0.84271451672065423"/>
          <c:y val="0.2695874145483026"/>
          <c:w val="0.15728561488447615"/>
          <c:h val="0.592451504158696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pivotSource>
    <c:name>[Databook IH19 (new format).xlsx]Volumes Input!TabellaPivotVolumes2</c:name>
    <c:fmtId val="3"/>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s>
    <c:plotArea>
      <c:layout>
        <c:manualLayout>
          <c:layoutTarget val="inner"/>
          <c:xMode val="edge"/>
          <c:yMode val="edge"/>
          <c:x val="0.11111723078860876"/>
          <c:y val="4.7044022361569515E-2"/>
          <c:w val="0.85641749276503065"/>
          <c:h val="0.62627675779491065"/>
        </c:manualLayout>
      </c:layout>
      <c:barChart>
        <c:barDir val="col"/>
        <c:grouping val="stacked"/>
        <c:varyColors val="0"/>
        <c:ser>
          <c:idx val="0"/>
          <c:order val="0"/>
          <c:tx>
            <c:strRef>
              <c:f>'Volumes Input'!$I$41:$I$42</c:f>
              <c:strCache>
                <c:ptCount val="1"/>
                <c:pt idx="0">
                  <c:v>Production (Italy)</c:v>
                </c:pt>
              </c:strCache>
            </c:strRef>
          </c:tx>
          <c:spPr>
            <a:solidFill>
              <a:schemeClr val="accent1"/>
            </a:solidFill>
            <a:ln>
              <a:noFill/>
            </a:ln>
            <a:effectLst/>
          </c:spPr>
          <c:invertIfNegative val="0"/>
          <c:cat>
            <c:strRef>
              <c:f>'Volumes Input'!$H$43:$H$47</c:f>
              <c:strCache>
                <c:ptCount val="4"/>
                <c:pt idx="0">
                  <c:v>2015</c:v>
                </c:pt>
                <c:pt idx="1">
                  <c:v>2016</c:v>
                </c:pt>
                <c:pt idx="2">
                  <c:v>2017</c:v>
                </c:pt>
                <c:pt idx="3">
                  <c:v>2018</c:v>
                </c:pt>
              </c:strCache>
            </c:strRef>
          </c:cat>
          <c:val>
            <c:numRef>
              <c:f>'Volumes Input'!$I$43:$I$47</c:f>
              <c:numCache>
                <c:formatCode>General</c:formatCode>
                <c:ptCount val="4"/>
                <c:pt idx="0">
                  <c:v>485</c:v>
                </c:pt>
                <c:pt idx="1">
                  <c:v>521</c:v>
                </c:pt>
                <c:pt idx="2">
                  <c:v>437</c:v>
                </c:pt>
                <c:pt idx="3">
                  <c:v>354</c:v>
                </c:pt>
              </c:numCache>
            </c:numRef>
          </c:val>
          <c:extLst>
            <c:ext xmlns:c16="http://schemas.microsoft.com/office/drawing/2014/chart" uri="{C3380CC4-5D6E-409C-BE32-E72D297353CC}">
              <c16:uniqueId val="{00000000-8F78-4225-8FFE-CD3A91D0E146}"/>
            </c:ext>
          </c:extLst>
        </c:ser>
        <c:ser>
          <c:idx val="1"/>
          <c:order val="1"/>
          <c:tx>
            <c:strRef>
              <c:f>'Volumes Input'!$J$41:$J$42</c:f>
              <c:strCache>
                <c:ptCount val="1"/>
                <c:pt idx="0">
                  <c:v>Import</c:v>
                </c:pt>
              </c:strCache>
            </c:strRef>
          </c:tx>
          <c:spPr>
            <a:solidFill>
              <a:schemeClr val="accent2"/>
            </a:solidFill>
            <a:ln>
              <a:noFill/>
            </a:ln>
            <a:effectLst/>
          </c:spPr>
          <c:invertIfNegative val="0"/>
          <c:cat>
            <c:strRef>
              <c:f>'Volumes Input'!$H$43:$H$47</c:f>
              <c:strCache>
                <c:ptCount val="4"/>
                <c:pt idx="0">
                  <c:v>2015</c:v>
                </c:pt>
                <c:pt idx="1">
                  <c:v>2016</c:v>
                </c:pt>
                <c:pt idx="2">
                  <c:v>2017</c:v>
                </c:pt>
                <c:pt idx="3">
                  <c:v>2018</c:v>
                </c:pt>
              </c:strCache>
            </c:strRef>
          </c:cat>
          <c:val>
            <c:numRef>
              <c:f>'Volumes Input'!$J$43:$J$47</c:f>
              <c:numCache>
                <c:formatCode>General</c:formatCode>
                <c:ptCount val="4"/>
                <c:pt idx="0">
                  <c:v>12722</c:v>
                </c:pt>
                <c:pt idx="1">
                  <c:v>14615</c:v>
                </c:pt>
                <c:pt idx="2">
                  <c:v>15102</c:v>
                </c:pt>
                <c:pt idx="3">
                  <c:v>14566</c:v>
                </c:pt>
              </c:numCache>
            </c:numRef>
          </c:val>
          <c:extLst>
            <c:ext xmlns:c16="http://schemas.microsoft.com/office/drawing/2014/chart" uri="{C3380CC4-5D6E-409C-BE32-E72D297353CC}">
              <c16:uniqueId val="{00000001-8F78-4225-8FFE-CD3A91D0E146}"/>
            </c:ext>
          </c:extLst>
        </c:ser>
        <c:ser>
          <c:idx val="2"/>
          <c:order val="2"/>
          <c:tx>
            <c:strRef>
              <c:f>'Volumes Input'!$K$41:$K$42</c:f>
              <c:strCache>
                <c:ptCount val="1"/>
                <c:pt idx="0">
                  <c:v>Other Purchases</c:v>
                </c:pt>
              </c:strCache>
            </c:strRef>
          </c:tx>
          <c:spPr>
            <a:solidFill>
              <a:schemeClr val="accent3"/>
            </a:solidFill>
            <a:ln>
              <a:noFill/>
            </a:ln>
            <a:effectLst/>
          </c:spPr>
          <c:invertIfNegative val="0"/>
          <c:cat>
            <c:strRef>
              <c:f>'Volumes Input'!$H$43:$H$47</c:f>
              <c:strCache>
                <c:ptCount val="4"/>
                <c:pt idx="0">
                  <c:v>2015</c:v>
                </c:pt>
                <c:pt idx="1">
                  <c:v>2016</c:v>
                </c:pt>
                <c:pt idx="2">
                  <c:v>2017</c:v>
                </c:pt>
                <c:pt idx="3">
                  <c:v>2018</c:v>
                </c:pt>
              </c:strCache>
            </c:strRef>
          </c:cat>
          <c:val>
            <c:numRef>
              <c:f>'Volumes Input'!$K$43:$K$47</c:f>
              <c:numCache>
                <c:formatCode>General</c:formatCode>
                <c:ptCount val="4"/>
                <c:pt idx="0">
                  <c:v>4172</c:v>
                </c:pt>
                <c:pt idx="1">
                  <c:v>6745</c:v>
                </c:pt>
                <c:pt idx="2">
                  <c:v>5843</c:v>
                </c:pt>
                <c:pt idx="3">
                  <c:v>5811</c:v>
                </c:pt>
              </c:numCache>
            </c:numRef>
          </c:val>
          <c:extLst>
            <c:ext xmlns:c16="http://schemas.microsoft.com/office/drawing/2014/chart" uri="{C3380CC4-5D6E-409C-BE32-E72D297353CC}">
              <c16:uniqueId val="{00000002-8F78-4225-8FFE-CD3A91D0E146}"/>
            </c:ext>
          </c:extLst>
        </c:ser>
        <c:ser>
          <c:idx val="3"/>
          <c:order val="3"/>
          <c:tx>
            <c:strRef>
              <c:f>'Volumes Input'!$L$41:$L$42</c:f>
              <c:strCache>
                <c:ptCount val="1"/>
                <c:pt idx="0">
                  <c:v>Change in Storage</c:v>
                </c:pt>
              </c:strCache>
            </c:strRef>
          </c:tx>
          <c:spPr>
            <a:solidFill>
              <a:schemeClr val="accent4"/>
            </a:solidFill>
            <a:ln>
              <a:noFill/>
            </a:ln>
            <a:effectLst/>
          </c:spPr>
          <c:invertIfNegative val="0"/>
          <c:cat>
            <c:strRef>
              <c:f>'Volumes Input'!$H$43:$H$47</c:f>
              <c:strCache>
                <c:ptCount val="4"/>
                <c:pt idx="0">
                  <c:v>2015</c:v>
                </c:pt>
                <c:pt idx="1">
                  <c:v>2016</c:v>
                </c:pt>
                <c:pt idx="2">
                  <c:v>2017</c:v>
                </c:pt>
                <c:pt idx="3">
                  <c:v>2018</c:v>
                </c:pt>
              </c:strCache>
            </c:strRef>
          </c:cat>
          <c:val>
            <c:numRef>
              <c:f>'Volumes Input'!$L$43:$L$47</c:f>
              <c:numCache>
                <c:formatCode>General</c:formatCode>
                <c:ptCount val="4"/>
                <c:pt idx="0">
                  <c:v>197</c:v>
                </c:pt>
                <c:pt idx="1">
                  <c:v>0</c:v>
                </c:pt>
                <c:pt idx="2">
                  <c:v>-94</c:v>
                </c:pt>
                <c:pt idx="3">
                  <c:v>-17</c:v>
                </c:pt>
              </c:numCache>
            </c:numRef>
          </c:val>
          <c:extLst>
            <c:ext xmlns:c16="http://schemas.microsoft.com/office/drawing/2014/chart" uri="{C3380CC4-5D6E-409C-BE32-E72D297353CC}">
              <c16:uniqueId val="{00000003-8F78-4225-8FFE-CD3A91D0E146}"/>
            </c:ext>
          </c:extLst>
        </c:ser>
        <c:ser>
          <c:idx val="4"/>
          <c:order val="4"/>
          <c:tx>
            <c:strRef>
              <c:f>'Volumes Input'!$M$41:$M$42</c:f>
              <c:strCache>
                <c:ptCount val="1"/>
                <c:pt idx="0">
                  <c:v>Production (Abroad)</c:v>
                </c:pt>
              </c:strCache>
            </c:strRef>
          </c:tx>
          <c:spPr>
            <a:solidFill>
              <a:schemeClr val="accent5"/>
            </a:solidFill>
            <a:ln>
              <a:noFill/>
            </a:ln>
            <a:effectLst/>
          </c:spPr>
          <c:invertIfNegative val="0"/>
          <c:cat>
            <c:strRef>
              <c:f>'Volumes Input'!$H$43:$H$47</c:f>
              <c:strCache>
                <c:ptCount val="4"/>
                <c:pt idx="0">
                  <c:v>2015</c:v>
                </c:pt>
                <c:pt idx="1">
                  <c:v>2016</c:v>
                </c:pt>
                <c:pt idx="2">
                  <c:v>2017</c:v>
                </c:pt>
                <c:pt idx="3">
                  <c:v>2018</c:v>
                </c:pt>
              </c:strCache>
            </c:strRef>
          </c:cat>
          <c:val>
            <c:numRef>
              <c:f>'Volumes Input'!$M$43:$M$47</c:f>
              <c:numCache>
                <c:formatCode>General</c:formatCode>
                <c:ptCount val="4"/>
                <c:pt idx="0">
                  <c:v>1508</c:v>
                </c:pt>
                <c:pt idx="1">
                  <c:v>1403</c:v>
                </c:pt>
                <c:pt idx="2">
                  <c:v>1637</c:v>
                </c:pt>
                <c:pt idx="3">
                  <c:v>1909</c:v>
                </c:pt>
              </c:numCache>
            </c:numRef>
          </c:val>
          <c:extLst>
            <c:ext xmlns:c16="http://schemas.microsoft.com/office/drawing/2014/chart" uri="{C3380CC4-5D6E-409C-BE32-E72D297353CC}">
              <c16:uniqueId val="{00000004-8F78-4225-8FFE-CD3A91D0E146}"/>
            </c:ext>
          </c:extLst>
        </c:ser>
        <c:dLbls>
          <c:showLegendKey val="0"/>
          <c:showVal val="0"/>
          <c:showCatName val="0"/>
          <c:showSerName val="0"/>
          <c:showPercent val="0"/>
          <c:showBubbleSize val="0"/>
        </c:dLbls>
        <c:gapWidth val="85"/>
        <c:overlap val="100"/>
        <c:axId val="556462000"/>
        <c:axId val="556460032"/>
      </c:barChart>
      <c:catAx>
        <c:axId val="556462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it-IT"/>
          </a:p>
        </c:txPr>
        <c:crossAx val="556460032"/>
        <c:crosses val="autoZero"/>
        <c:auto val="1"/>
        <c:lblAlgn val="ctr"/>
        <c:lblOffset val="100"/>
        <c:noMultiLvlLbl val="0"/>
      </c:catAx>
      <c:valAx>
        <c:axId val="55646003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556462000"/>
        <c:crosses val="autoZero"/>
        <c:crossBetween val="between"/>
        <c:dispUnits>
          <c:builtInUnit val="thousands"/>
        </c:dispUnits>
      </c:valAx>
      <c:spPr>
        <a:noFill/>
        <a:ln>
          <a:noFill/>
        </a:ln>
        <a:effectLst/>
      </c:spPr>
    </c:plotArea>
    <c:legend>
      <c:legendPos val="b"/>
      <c:layout>
        <c:manualLayout>
          <c:xMode val="edge"/>
          <c:yMode val="edge"/>
          <c:x val="0"/>
          <c:y val="0.7813683058256613"/>
          <c:w val="1"/>
          <c:h val="0.1929715654258154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it-IT"/>
    </a:p>
  </c:txPr>
  <c:printSettings>
    <c:headerFooter/>
    <c:pageMargins b="0.75" l="0.7" r="0.7" t="0.75" header="0.3" footer="0.3"/>
    <c:pageSetup/>
  </c:printSettings>
  <c:extLst>
    <c:ext xmlns:c14="http://schemas.microsoft.com/office/drawing/2007/8/2/chart" uri="{781A3756-C4B2-4CAC-9D66-4F8BD8637D16}">
      <c14:pivotOptions>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pivotSource>
    <c:name>[Databook IH19 (new format).xlsx]Volumes Input!TabellaPivotVolumes1</c:name>
    <c:fmtId val="2"/>
  </c:pivotSource>
  <c:chart>
    <c:autoTitleDeleted val="0"/>
    <c:pivotFmts>
      <c:pivotFmt>
        <c:idx val="0"/>
        <c:spPr>
          <a:solidFill>
            <a:schemeClr val="accent1"/>
          </a:solidFill>
          <a:ln>
            <a:noFill/>
          </a:ln>
          <a:effectLst/>
        </c:spPr>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
        <c:idx val="5"/>
        <c:spPr>
          <a:solidFill>
            <a:schemeClr val="accent1"/>
          </a:solidFill>
          <a:ln>
            <a:noFill/>
          </a:ln>
          <a:effectLst/>
        </c:spPr>
      </c:pivotFmt>
      <c:pivotFmt>
        <c:idx val="6"/>
        <c:spPr>
          <a:solidFill>
            <a:schemeClr val="accent1"/>
          </a:solidFill>
          <a:ln>
            <a:noFill/>
          </a:ln>
          <a:effectLst/>
        </c:spPr>
      </c:pivotFmt>
      <c:pivotFmt>
        <c:idx val="7"/>
        <c:spPr>
          <a:solidFill>
            <a:schemeClr val="accent1"/>
          </a:solidFill>
          <a:ln>
            <a:noFill/>
          </a:ln>
          <a:effectLst/>
        </c:spP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s>
    <c:plotArea>
      <c:layout>
        <c:manualLayout>
          <c:layoutTarget val="inner"/>
          <c:xMode val="edge"/>
          <c:yMode val="edge"/>
          <c:x val="0.13404787516314559"/>
          <c:y val="6.2678090799331856E-2"/>
          <c:w val="0.81203075025457883"/>
          <c:h val="0.62405273759384738"/>
        </c:manualLayout>
      </c:layout>
      <c:barChart>
        <c:barDir val="col"/>
        <c:grouping val="stacked"/>
        <c:varyColors val="0"/>
        <c:ser>
          <c:idx val="0"/>
          <c:order val="0"/>
          <c:tx>
            <c:strRef>
              <c:f>'Volumes Input'!$I$5:$I$6</c:f>
              <c:strCache>
                <c:ptCount val="1"/>
                <c:pt idx="0">
                  <c:v>Thermoelectric </c:v>
                </c:pt>
              </c:strCache>
            </c:strRef>
          </c:tx>
          <c:spPr>
            <a:solidFill>
              <a:schemeClr val="accent1"/>
            </a:solidFill>
            <a:ln>
              <a:noFill/>
            </a:ln>
            <a:effectLst/>
          </c:spPr>
          <c:invertIfNegative val="0"/>
          <c:cat>
            <c:strRef>
              <c:f>'Volumes Input'!$H$7:$H$11</c:f>
              <c:strCache>
                <c:ptCount val="4"/>
                <c:pt idx="0">
                  <c:v>2015</c:v>
                </c:pt>
                <c:pt idx="1">
                  <c:v>2016</c:v>
                </c:pt>
                <c:pt idx="2">
                  <c:v>2017</c:v>
                </c:pt>
                <c:pt idx="3">
                  <c:v>2018</c:v>
                </c:pt>
              </c:strCache>
            </c:strRef>
          </c:cat>
          <c:val>
            <c:numRef>
              <c:f>'Volumes Input'!$I$7:$I$11</c:f>
              <c:numCache>
                <c:formatCode>General</c:formatCode>
                <c:ptCount val="4"/>
                <c:pt idx="0">
                  <c:v>14116</c:v>
                </c:pt>
                <c:pt idx="1">
                  <c:v>16765</c:v>
                </c:pt>
                <c:pt idx="2">
                  <c:v>16469</c:v>
                </c:pt>
                <c:pt idx="3">
                  <c:v>14763</c:v>
                </c:pt>
              </c:numCache>
            </c:numRef>
          </c:val>
          <c:extLst>
            <c:ext xmlns:c16="http://schemas.microsoft.com/office/drawing/2014/chart" uri="{C3380CC4-5D6E-409C-BE32-E72D297353CC}">
              <c16:uniqueId val="{00000000-0141-4443-8458-CEC3F8D2E524}"/>
            </c:ext>
          </c:extLst>
        </c:ser>
        <c:ser>
          <c:idx val="1"/>
          <c:order val="1"/>
          <c:tx>
            <c:strRef>
              <c:f>'Volumes Input'!$J$5:$J$6</c:f>
              <c:strCache>
                <c:ptCount val="1"/>
                <c:pt idx="0">
                  <c:v>Hydroelectric </c:v>
                </c:pt>
              </c:strCache>
            </c:strRef>
          </c:tx>
          <c:spPr>
            <a:solidFill>
              <a:schemeClr val="accent2"/>
            </a:solidFill>
            <a:ln>
              <a:noFill/>
            </a:ln>
            <a:effectLst/>
          </c:spPr>
          <c:invertIfNegative val="0"/>
          <c:cat>
            <c:strRef>
              <c:f>'Volumes Input'!$H$7:$H$11</c:f>
              <c:strCache>
                <c:ptCount val="4"/>
                <c:pt idx="0">
                  <c:v>2015</c:v>
                </c:pt>
                <c:pt idx="1">
                  <c:v>2016</c:v>
                </c:pt>
                <c:pt idx="2">
                  <c:v>2017</c:v>
                </c:pt>
                <c:pt idx="3">
                  <c:v>2018</c:v>
                </c:pt>
              </c:strCache>
            </c:strRef>
          </c:cat>
          <c:val>
            <c:numRef>
              <c:f>'Volumes Input'!$J$7:$J$11</c:f>
              <c:numCache>
                <c:formatCode>General</c:formatCode>
                <c:ptCount val="4"/>
                <c:pt idx="0">
                  <c:v>3378</c:v>
                </c:pt>
                <c:pt idx="1">
                  <c:v>2490</c:v>
                </c:pt>
                <c:pt idx="2">
                  <c:v>2209</c:v>
                </c:pt>
                <c:pt idx="3">
                  <c:v>3080</c:v>
                </c:pt>
              </c:numCache>
            </c:numRef>
          </c:val>
          <c:extLst>
            <c:ext xmlns:c16="http://schemas.microsoft.com/office/drawing/2014/chart" uri="{C3380CC4-5D6E-409C-BE32-E72D297353CC}">
              <c16:uniqueId val="{00000001-0141-4443-8458-CEC3F8D2E524}"/>
            </c:ext>
          </c:extLst>
        </c:ser>
        <c:ser>
          <c:idx val="2"/>
          <c:order val="2"/>
          <c:tx>
            <c:strRef>
              <c:f>'Volumes Input'!$K$5:$K$6</c:f>
              <c:strCache>
                <c:ptCount val="1"/>
                <c:pt idx="0">
                  <c:v>RES</c:v>
                </c:pt>
              </c:strCache>
            </c:strRef>
          </c:tx>
          <c:spPr>
            <a:solidFill>
              <a:schemeClr val="accent3"/>
            </a:solidFill>
            <a:ln>
              <a:noFill/>
            </a:ln>
            <a:effectLst/>
          </c:spPr>
          <c:invertIfNegative val="0"/>
          <c:cat>
            <c:strRef>
              <c:f>'Volumes Input'!$H$7:$H$11</c:f>
              <c:strCache>
                <c:ptCount val="4"/>
                <c:pt idx="0">
                  <c:v>2015</c:v>
                </c:pt>
                <c:pt idx="1">
                  <c:v>2016</c:v>
                </c:pt>
                <c:pt idx="2">
                  <c:v>2017</c:v>
                </c:pt>
                <c:pt idx="3">
                  <c:v>2018</c:v>
                </c:pt>
              </c:strCache>
            </c:strRef>
          </c:cat>
          <c:val>
            <c:numRef>
              <c:f>'Volumes Input'!$K$7:$K$11</c:f>
              <c:numCache>
                <c:formatCode>General</c:formatCode>
                <c:ptCount val="4"/>
                <c:pt idx="0">
                  <c:v>987</c:v>
                </c:pt>
                <c:pt idx="1">
                  <c:v>1103</c:v>
                </c:pt>
                <c:pt idx="2">
                  <c:v>1064</c:v>
                </c:pt>
                <c:pt idx="3">
                  <c:v>955</c:v>
                </c:pt>
              </c:numCache>
            </c:numRef>
          </c:val>
          <c:extLst>
            <c:ext xmlns:c16="http://schemas.microsoft.com/office/drawing/2014/chart" uri="{C3380CC4-5D6E-409C-BE32-E72D297353CC}">
              <c16:uniqueId val="{00000002-D9F3-4BB0-A626-0551B0E0530D}"/>
            </c:ext>
          </c:extLst>
        </c:ser>
        <c:ser>
          <c:idx val="3"/>
          <c:order val="3"/>
          <c:tx>
            <c:strRef>
              <c:f>'Volumes Input'!$L$5:$L$6</c:f>
              <c:strCache>
                <c:ptCount val="1"/>
                <c:pt idx="0">
                  <c:v>Other Purchases</c:v>
                </c:pt>
              </c:strCache>
            </c:strRef>
          </c:tx>
          <c:spPr>
            <a:solidFill>
              <a:schemeClr val="accent4"/>
            </a:solidFill>
            <a:ln>
              <a:noFill/>
            </a:ln>
            <a:effectLst/>
          </c:spPr>
          <c:invertIfNegative val="0"/>
          <c:cat>
            <c:strRef>
              <c:f>'Volumes Input'!$H$7:$H$11</c:f>
              <c:strCache>
                <c:ptCount val="4"/>
                <c:pt idx="0">
                  <c:v>2015</c:v>
                </c:pt>
                <c:pt idx="1">
                  <c:v>2016</c:v>
                </c:pt>
                <c:pt idx="2">
                  <c:v>2017</c:v>
                </c:pt>
                <c:pt idx="3">
                  <c:v>2018</c:v>
                </c:pt>
              </c:strCache>
            </c:strRef>
          </c:cat>
          <c:val>
            <c:numRef>
              <c:f>'Volumes Input'!$L$7:$L$11</c:f>
              <c:numCache>
                <c:formatCode>General</c:formatCode>
                <c:ptCount val="4"/>
                <c:pt idx="0">
                  <c:v>70952</c:v>
                </c:pt>
                <c:pt idx="1">
                  <c:v>70836</c:v>
                </c:pt>
                <c:pt idx="2">
                  <c:v>33288</c:v>
                </c:pt>
                <c:pt idx="3">
                  <c:v>24020</c:v>
                </c:pt>
              </c:numCache>
            </c:numRef>
          </c:val>
          <c:extLst>
            <c:ext xmlns:c16="http://schemas.microsoft.com/office/drawing/2014/chart" uri="{C3380CC4-5D6E-409C-BE32-E72D297353CC}">
              <c16:uniqueId val="{00000003-D9F3-4BB0-A626-0551B0E0530D}"/>
            </c:ext>
          </c:extLst>
        </c:ser>
        <c:dLbls>
          <c:showLegendKey val="0"/>
          <c:showVal val="0"/>
          <c:showCatName val="0"/>
          <c:showSerName val="0"/>
          <c:showPercent val="0"/>
          <c:showBubbleSize val="0"/>
        </c:dLbls>
        <c:gapWidth val="85"/>
        <c:overlap val="100"/>
        <c:axId val="555315216"/>
        <c:axId val="362803576"/>
      </c:barChart>
      <c:catAx>
        <c:axId val="555315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it-IT"/>
          </a:p>
        </c:txPr>
        <c:crossAx val="362803576"/>
        <c:crosses val="autoZero"/>
        <c:auto val="1"/>
        <c:lblAlgn val="ctr"/>
        <c:lblOffset val="100"/>
        <c:noMultiLvlLbl val="0"/>
      </c:catAx>
      <c:valAx>
        <c:axId val="3628035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555315216"/>
        <c:crosses val="autoZero"/>
        <c:crossBetween val="between"/>
        <c:majorUnit val="20000"/>
        <c:dispUnits>
          <c:builtInUnit val="thousands"/>
        </c:dispUnits>
      </c:valAx>
      <c:spPr>
        <a:noFill/>
        <a:ln>
          <a:noFill/>
        </a:ln>
        <a:effectLst/>
      </c:spPr>
    </c:plotArea>
    <c:legend>
      <c:legendPos val="b"/>
      <c:layout>
        <c:manualLayout>
          <c:xMode val="edge"/>
          <c:yMode val="edge"/>
          <c:x val="7.4689874292029279E-2"/>
          <c:y val="0.83718781663919928"/>
          <c:w val="0.9"/>
          <c:h val="9.881373434878017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it-IT"/>
    </a:p>
  </c:txPr>
  <c:printSettings>
    <c:headerFooter/>
    <c:pageMargins b="0.75" l="0.7" r="0.7" t="0.75" header="0.3" footer="0.3"/>
    <c:pageSetup/>
  </c:printSettings>
  <c:extLst>
    <c:ext xmlns:c14="http://schemas.microsoft.com/office/drawing/2007/8/2/chart" uri="{781A3756-C4B2-4CAC-9D66-4F8BD8637D16}">
      <c14:pivotOptions>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pivotSource>
    <c:name>[Databook IH19 (new format).xlsx]Non Financial Input!TabellaPivotEmissions</c:name>
    <c:fmtId val="6"/>
  </c:pivotSource>
  <c:chart>
    <c:autoTitleDeleted val="0"/>
    <c:pivotFmts>
      <c:pivotFmt>
        <c:idx val="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dLblPos val="t"/>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dLblPos val="t"/>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dLblPos val="t"/>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dLblPos val="t"/>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dLblPos val="t"/>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dLblPos val="t"/>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dLblPos val="t"/>
          <c:showLegendKey val="0"/>
          <c:showVal val="1"/>
          <c:showCatName val="0"/>
          <c:showSerName val="0"/>
          <c:showPercent val="0"/>
          <c:showBubbleSize val="0"/>
          <c:extLst>
            <c:ext xmlns:c15="http://schemas.microsoft.com/office/drawing/2012/chart" uri="{CE6537A1-D6FC-4f65-9D91-7224C49458BB}"/>
          </c:extLst>
        </c:dLbl>
      </c:pivotFmt>
      <c:pivotFmt>
        <c:idx val="10"/>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it-IT"/>
            </a:p>
          </c:txPr>
          <c:dLblPos val="t"/>
          <c:showLegendKey val="0"/>
          <c:showVal val="1"/>
          <c:showCatName val="0"/>
          <c:showSerName val="0"/>
          <c:showPercent val="0"/>
          <c:showBubbleSize val="0"/>
          <c:extLst>
            <c:ext xmlns:c15="http://schemas.microsoft.com/office/drawing/2012/chart" uri="{CE6537A1-D6FC-4f65-9D91-7224C49458BB}"/>
          </c:extLst>
        </c:dLbl>
      </c:pivotFmt>
      <c:pivotFmt>
        <c:idx val="11"/>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it-IT"/>
            </a:p>
          </c:txPr>
          <c:dLblPos val="t"/>
          <c:showLegendKey val="0"/>
          <c:showVal val="1"/>
          <c:showCatName val="0"/>
          <c:showSerName val="0"/>
          <c:showPercent val="0"/>
          <c:showBubbleSize val="0"/>
          <c:extLst>
            <c:ext xmlns:c15="http://schemas.microsoft.com/office/drawing/2012/chart" uri="{CE6537A1-D6FC-4f65-9D91-7224C49458BB}"/>
          </c:extLst>
        </c:dLbl>
      </c:pivotFmt>
      <c:pivotFmt>
        <c:idx val="12"/>
        <c:spPr>
          <a:ln w="28575" cap="rnd">
            <a:solidFill>
              <a:schemeClr val="accent1"/>
            </a:solidFill>
            <a:round/>
          </a:ln>
          <a:effectLst/>
        </c:spPr>
        <c:marker>
          <c:symbol val="circle"/>
          <c:size val="5"/>
          <c:spPr>
            <a:solidFill>
              <a:schemeClr val="accent3"/>
            </a:solidFill>
            <a:ln w="9525">
              <a:solidFill>
                <a:schemeClr val="accent3"/>
              </a:solidFill>
            </a:ln>
            <a:effectLst/>
          </c:spPr>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solidFill>
                  <a:latin typeface="+mn-lt"/>
                  <a:ea typeface="+mn-ea"/>
                  <a:cs typeface="+mn-cs"/>
                </a:defRPr>
              </a:pPr>
              <a:endParaRPr lang="it-IT"/>
            </a:p>
          </c:txPr>
          <c:dLblPos val="t"/>
          <c:showLegendKey val="0"/>
          <c:showVal val="1"/>
          <c:showCatName val="0"/>
          <c:showSerName val="0"/>
          <c:showPercent val="0"/>
          <c:showBubbleSize val="0"/>
          <c:extLst>
            <c:ext xmlns:c15="http://schemas.microsoft.com/office/drawing/2012/chart" uri="{CE6537A1-D6FC-4f65-9D91-7224C49458BB}"/>
          </c:extLst>
        </c:dLbl>
      </c:pivotFmt>
      <c:pivotFmt>
        <c:idx val="13"/>
        <c:spPr>
          <a:ln w="28575" cap="rnd">
            <a:solidFill>
              <a:schemeClr val="accent1"/>
            </a:solidFill>
            <a:round/>
          </a:ln>
          <a:effectLst/>
        </c:spPr>
        <c:marker>
          <c:symbol val="circle"/>
          <c:size val="5"/>
          <c:spPr>
            <a:solidFill>
              <a:schemeClr val="accent4"/>
            </a:solidFill>
            <a:ln w="9525">
              <a:solidFill>
                <a:schemeClr val="accent4"/>
              </a:solidFill>
            </a:ln>
            <a:effectLst/>
          </c:spPr>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mn-lt"/>
                  <a:ea typeface="+mn-ea"/>
                  <a:cs typeface="+mn-cs"/>
                </a:defRPr>
              </a:pPr>
              <a:endParaRPr lang="it-IT"/>
            </a:p>
          </c:txPr>
          <c:dLblPos val="t"/>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it-IT"/>
            </a:p>
          </c:txPr>
          <c:dLblPos val="t"/>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it-IT"/>
            </a:p>
          </c:txPr>
          <c:dLblPos val="t"/>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it-IT"/>
            </a:p>
          </c:txPr>
          <c:dLblPos val="t"/>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it-IT"/>
            </a:p>
          </c:txPr>
          <c:dLblPos val="b"/>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solidFill>
                  <a:latin typeface="+mn-lt"/>
                  <a:ea typeface="+mn-ea"/>
                  <a:cs typeface="+mn-cs"/>
                </a:defRPr>
              </a:pPr>
              <a:endParaRPr lang="it-IT"/>
            </a:p>
          </c:txPr>
          <c:dLblPos val="b"/>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w="28575" cap="rnd">
            <a:solidFill>
              <a:schemeClr val="accent3"/>
            </a:solidFill>
            <a:round/>
          </a:ln>
          <a:effectLst/>
        </c:spPr>
        <c:marker>
          <c:symbol val="circle"/>
          <c:size val="5"/>
          <c:spPr>
            <a:solidFill>
              <a:schemeClr val="accent1"/>
            </a:solidFill>
            <a:ln w="9525">
              <a:solidFill>
                <a:schemeClr val="accent1"/>
              </a:solidFill>
            </a:ln>
            <a:effectLst/>
          </c:spPr>
        </c:marker>
        <c:dLbl>
          <c:idx val="0"/>
          <c:layout>
            <c:manualLayout>
              <c:x val="-5.9459459459459491E-2"/>
              <c:y val="4.1949751995870026E-2"/>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solidFill>
                  <a:latin typeface="+mn-lt"/>
                  <a:ea typeface="+mn-ea"/>
                  <a:cs typeface="+mn-cs"/>
                </a:defRPr>
              </a:pPr>
              <a:endParaRPr lang="it-IT"/>
            </a:p>
          </c:txPr>
          <c:dLblPos val="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w="28575" cap="rnd">
            <a:solidFill>
              <a:schemeClr val="accent3"/>
            </a:solidFill>
            <a:round/>
          </a:ln>
          <a:effectLst/>
        </c:spPr>
        <c:marker>
          <c:symbol val="circle"/>
          <c:size val="5"/>
          <c:spPr>
            <a:solidFill>
              <a:schemeClr val="accent1"/>
            </a:solidFill>
            <a:ln w="9525">
              <a:solidFill>
                <a:schemeClr val="accent1"/>
              </a:solidFill>
            </a:ln>
            <a:effectLst/>
          </c:spPr>
        </c:marker>
        <c:dLbl>
          <c:idx val="0"/>
          <c:layout>
            <c:manualLayout>
              <c:x val="-5.5855855855855854E-2"/>
              <c:y val="5.3147520906543108E-2"/>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solidFill>
                  <a:latin typeface="+mn-lt"/>
                  <a:ea typeface="+mn-ea"/>
                  <a:cs typeface="+mn-cs"/>
                </a:defRPr>
              </a:pPr>
              <a:endParaRPr lang="it-IT"/>
            </a:p>
          </c:txPr>
          <c:dLblPos val="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w="28575" cap="rnd">
            <a:solidFill>
              <a:schemeClr val="accent3"/>
            </a:solidFill>
            <a:round/>
          </a:ln>
          <a:effectLst/>
        </c:spPr>
        <c:marker>
          <c:symbol val="circle"/>
          <c:size val="5"/>
          <c:spPr>
            <a:solidFill>
              <a:schemeClr val="accent1"/>
            </a:solidFill>
            <a:ln w="9525">
              <a:solidFill>
                <a:schemeClr val="accent1"/>
              </a:solidFill>
            </a:ln>
            <a:effectLst/>
          </c:spPr>
        </c:marker>
        <c:dLbl>
          <c:idx val="0"/>
          <c:layout>
            <c:manualLayout>
              <c:x val="-5.9459459459459463E-2"/>
              <c:y val="5.3147520906543157E-2"/>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solidFill>
                  <a:latin typeface="+mn-lt"/>
                  <a:ea typeface="+mn-ea"/>
                  <a:cs typeface="+mn-cs"/>
                </a:defRPr>
              </a:pPr>
              <a:endParaRPr lang="it-IT"/>
            </a:p>
          </c:txPr>
          <c:dLblPos val="r"/>
          <c:showLegendKey val="0"/>
          <c:showVal val="1"/>
          <c:showCatName val="0"/>
          <c:showSerName val="0"/>
          <c:showPercent val="0"/>
          <c:showBubbleSize val="0"/>
          <c:extLst>
            <c:ext xmlns:c15="http://schemas.microsoft.com/office/drawing/2012/chart" uri="{CE6537A1-D6FC-4f65-9D91-7224C49458BB}"/>
          </c:extLst>
        </c:dLbl>
      </c:pivotFmt>
      <c:pivotFmt>
        <c:idx val="22"/>
        <c:spPr>
          <a:ln w="28575" cap="rnd">
            <a:solidFill>
              <a:schemeClr val="accent4"/>
            </a:solidFill>
            <a:round/>
          </a:ln>
          <a:effectLst/>
        </c:spPr>
        <c:marker>
          <c:symbol val="circle"/>
          <c:size val="5"/>
          <c:spPr>
            <a:solidFill>
              <a:schemeClr val="accent4"/>
            </a:solidFill>
            <a:ln w="9525">
              <a:solidFill>
                <a:schemeClr val="accent4"/>
              </a:solidFill>
            </a:ln>
            <a:effectLst/>
          </c:spPr>
        </c:marker>
        <c:dLbl>
          <c:idx val="0"/>
          <c:layout>
            <c:manualLayout>
              <c:x val="-5.1243243243243274E-2"/>
              <c:y val="-0.1035374810045722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mn-lt"/>
                  <a:ea typeface="+mn-ea"/>
                  <a:cs typeface="+mn-cs"/>
                </a:defRPr>
              </a:pPr>
              <a:endParaRPr lang="it-IT"/>
            </a:p>
          </c:txPr>
          <c:dLblPos val="r"/>
          <c:showLegendKey val="0"/>
          <c:showVal val="1"/>
          <c:showCatName val="0"/>
          <c:showSerName val="0"/>
          <c:showPercent val="0"/>
          <c:showBubbleSize val="0"/>
          <c:extLst>
            <c:ext xmlns:c15="http://schemas.microsoft.com/office/drawing/2012/chart" uri="{CE6537A1-D6FC-4f65-9D91-7224C49458BB}"/>
          </c:extLst>
        </c:dLbl>
      </c:pivotFmt>
      <c:pivotFmt>
        <c:idx val="23"/>
        <c:spPr>
          <a:ln w="28575" cap="rnd">
            <a:solidFill>
              <a:schemeClr val="accent2"/>
            </a:solidFill>
            <a:round/>
          </a:ln>
          <a:effectLst/>
        </c:spPr>
        <c:marker>
          <c:symbol val="circle"/>
          <c:size val="5"/>
          <c:spPr>
            <a:solidFill>
              <a:schemeClr val="accent2"/>
            </a:solidFill>
            <a:ln w="9525">
              <a:solidFill>
                <a:schemeClr val="accent2"/>
              </a:solidFill>
            </a:ln>
            <a:effectLst/>
          </c:spPr>
        </c:marker>
        <c:dLbl>
          <c:idx val="0"/>
          <c:layout>
            <c:manualLayout>
              <c:x val="-5.9459382392015814E-2"/>
              <c:y val="-9.2339911300277758E-2"/>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it-IT"/>
            </a:p>
          </c:txPr>
          <c:dLblPos val="r"/>
          <c:showLegendKey val="0"/>
          <c:showVal val="1"/>
          <c:showCatName val="0"/>
          <c:showSerName val="0"/>
          <c:showPercent val="0"/>
          <c:showBubbleSize val="0"/>
          <c:extLst>
            <c:ext xmlns:c15="http://schemas.microsoft.com/office/drawing/2012/chart" uri="{CE6537A1-D6FC-4f65-9D91-7224C49458BB}"/>
          </c:extLst>
        </c:dLbl>
      </c:pivotFmt>
      <c:pivotFmt>
        <c:idx val="24"/>
        <c:spPr>
          <a:ln w="28575" cap="rnd">
            <a:solidFill>
              <a:schemeClr val="accent3"/>
            </a:solidFill>
            <a:round/>
          </a:ln>
          <a:effectLst/>
        </c:spPr>
        <c:marker>
          <c:symbol val="circle"/>
          <c:size val="5"/>
          <c:spPr>
            <a:solidFill>
              <a:schemeClr val="accent3"/>
            </a:solidFill>
            <a:ln w="9525">
              <a:solidFill>
                <a:schemeClr val="accent3"/>
              </a:solidFill>
            </a:ln>
            <a:effectLst/>
          </c:spPr>
        </c:marker>
        <c:dLbl>
          <c:idx val="0"/>
          <c:layout>
            <c:manualLayout>
              <c:x val="-5.9459459459459491E-2"/>
              <c:y val="-4.1949751995870053E-2"/>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solidFill>
                  <a:latin typeface="+mn-lt"/>
                  <a:ea typeface="+mn-ea"/>
                  <a:cs typeface="+mn-cs"/>
                </a:defRPr>
              </a:pPr>
              <a:endParaRPr lang="it-IT"/>
            </a:p>
          </c:txPr>
          <c:dLblPos val="r"/>
          <c:showLegendKey val="0"/>
          <c:showVal val="1"/>
          <c:showCatName val="0"/>
          <c:showSerName val="0"/>
          <c:showPercent val="0"/>
          <c:showBubbleSize val="0"/>
          <c:extLst>
            <c:ext xmlns:c15="http://schemas.microsoft.com/office/drawing/2012/chart" uri="{CE6537A1-D6FC-4f65-9D91-7224C49458BB}"/>
          </c:extLst>
        </c:dLbl>
      </c:pivotFmt>
      <c:pivotFmt>
        <c:idx val="25"/>
        <c:spPr>
          <a:ln w="28575" cap="rnd">
            <a:solidFill>
              <a:schemeClr val="accent3"/>
            </a:solidFill>
            <a:round/>
          </a:ln>
          <a:effectLst/>
        </c:spPr>
        <c:marker>
          <c:symbol val="circle"/>
          <c:size val="5"/>
          <c:spPr>
            <a:solidFill>
              <a:schemeClr val="accent3"/>
            </a:solidFill>
            <a:ln w="9525">
              <a:solidFill>
                <a:schemeClr val="accent3"/>
              </a:solidFill>
            </a:ln>
            <a:effectLst/>
          </c:spPr>
        </c:marker>
        <c:dLbl>
          <c:idx val="0"/>
          <c:layout>
            <c:manualLayout>
              <c:x val="-5.9459459459459463E-2"/>
              <c:y val="-5.3147520906543157E-2"/>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solidFill>
                  <a:latin typeface="+mn-lt"/>
                  <a:ea typeface="+mn-ea"/>
                  <a:cs typeface="+mn-cs"/>
                </a:defRPr>
              </a:pPr>
              <a:endParaRPr lang="it-IT"/>
            </a:p>
          </c:txPr>
          <c:dLblPos val="r"/>
          <c:showLegendKey val="0"/>
          <c:showVal val="1"/>
          <c:showCatName val="0"/>
          <c:showSerName val="0"/>
          <c:showPercent val="0"/>
          <c:showBubbleSize val="0"/>
          <c:extLst>
            <c:ext xmlns:c15="http://schemas.microsoft.com/office/drawing/2012/chart" uri="{CE6537A1-D6FC-4f65-9D91-7224C49458BB}"/>
          </c:extLst>
        </c:dLbl>
      </c:pivotFmt>
      <c:pivotFmt>
        <c:idx val="26"/>
        <c:spPr>
          <a:ln w="28575" cap="rnd">
            <a:solidFill>
              <a:schemeClr val="accent3"/>
            </a:solidFill>
            <a:round/>
          </a:ln>
          <a:effectLst/>
        </c:spPr>
        <c:marker>
          <c:symbol val="circle"/>
          <c:size val="5"/>
          <c:spPr>
            <a:solidFill>
              <a:schemeClr val="accent3"/>
            </a:solidFill>
            <a:ln w="9525">
              <a:solidFill>
                <a:schemeClr val="accent3"/>
              </a:solidFill>
            </a:ln>
            <a:effectLst/>
          </c:spPr>
        </c:marker>
        <c:dLbl>
          <c:idx val="0"/>
          <c:layout>
            <c:manualLayout>
              <c:x val="-5.2252252252252253E-2"/>
              <c:y val="-5.3147520906543157E-2"/>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solidFill>
                  <a:latin typeface="+mn-lt"/>
                  <a:ea typeface="+mn-ea"/>
                  <a:cs typeface="+mn-cs"/>
                </a:defRPr>
              </a:pPr>
              <a:endParaRPr lang="it-IT"/>
            </a:p>
          </c:txPr>
          <c:dLblPos val="r"/>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s>
    <c:plotArea>
      <c:layout>
        <c:manualLayout>
          <c:layoutTarget val="inner"/>
          <c:xMode val="edge"/>
          <c:yMode val="edge"/>
          <c:x val="3.6213991769547323E-2"/>
          <c:y val="6.4855810723167817E-2"/>
          <c:w val="0.72311046304397131"/>
          <c:h val="0.79836760199237788"/>
        </c:manualLayout>
      </c:layout>
      <c:lineChart>
        <c:grouping val="standard"/>
        <c:varyColors val="0"/>
        <c:ser>
          <c:idx val="0"/>
          <c:order val="0"/>
          <c:tx>
            <c:strRef>
              <c:f>'Non Financial Input'!$K$2:$K$3</c:f>
              <c:strCache>
                <c:ptCount val="1"/>
                <c:pt idx="0">
                  <c:v>NOX</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it-IT"/>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'Non Financial Input'!$J$4:$J$8</c:f>
              <c:strCache>
                <c:ptCount val="4"/>
                <c:pt idx="0">
                  <c:v>2015</c:v>
                </c:pt>
                <c:pt idx="1">
                  <c:v>2016</c:v>
                </c:pt>
                <c:pt idx="2">
                  <c:v>2017</c:v>
                </c:pt>
                <c:pt idx="3">
                  <c:v>2018</c:v>
                </c:pt>
              </c:strCache>
            </c:strRef>
          </c:cat>
          <c:val>
            <c:numRef>
              <c:f>'Non Financial Input'!$K$4:$K$8</c:f>
              <c:numCache>
                <c:formatCode>General</c:formatCode>
                <c:ptCount val="4"/>
                <c:pt idx="0">
                  <c:v>2637</c:v>
                </c:pt>
                <c:pt idx="1">
                  <c:v>4618</c:v>
                </c:pt>
                <c:pt idx="2">
                  <c:v>4408</c:v>
                </c:pt>
                <c:pt idx="3">
                  <c:v>4069</c:v>
                </c:pt>
              </c:numCache>
            </c:numRef>
          </c:val>
          <c:smooth val="0"/>
          <c:extLst>
            <c:ext xmlns:c16="http://schemas.microsoft.com/office/drawing/2014/chart" uri="{C3380CC4-5D6E-409C-BE32-E72D297353CC}">
              <c16:uniqueId val="{00000000-CC68-43BB-91EC-5AF84ECFC958}"/>
            </c:ext>
          </c:extLst>
        </c:ser>
        <c:ser>
          <c:idx val="1"/>
          <c:order val="1"/>
          <c:tx>
            <c:strRef>
              <c:f>'Non Financial Input'!$L$2:$L$3</c:f>
              <c:strCache>
                <c:ptCount val="1"/>
                <c:pt idx="0">
                  <c:v>SOX</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Pt>
            <c:idx val="0"/>
            <c:marker>
              <c:symbol val="circle"/>
              <c:size val="5"/>
              <c:spPr>
                <a:solidFill>
                  <a:schemeClr val="accent2"/>
                </a:solidFill>
                <a:ln w="9525">
                  <a:solidFill>
                    <a:schemeClr val="accent2"/>
                  </a:solidFill>
                </a:ln>
                <a:effectLst/>
              </c:spPr>
            </c:marker>
            <c:bubble3D val="0"/>
            <c:spPr>
              <a:ln w="28575" cap="rnd">
                <a:solidFill>
                  <a:schemeClr val="accent2"/>
                </a:solidFill>
                <a:round/>
              </a:ln>
              <a:effectLst/>
            </c:spPr>
            <c:extLst>
              <c:ext xmlns:c16="http://schemas.microsoft.com/office/drawing/2014/chart" uri="{C3380CC4-5D6E-409C-BE32-E72D297353CC}">
                <c16:uniqueId val="{00000000-853F-41FC-BD1A-285DA3A2BF94}"/>
              </c:ext>
            </c:extLst>
          </c:dPt>
          <c:dLbls>
            <c:dLbl>
              <c:idx val="0"/>
              <c:layout>
                <c:manualLayout>
                  <c:x val="-5.9459382392015814E-2"/>
                  <c:y val="-9.23399113002777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3F-41FC-BD1A-285DA3A2BF94}"/>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it-IT"/>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'Non Financial Input'!$J$4:$J$8</c:f>
              <c:strCache>
                <c:ptCount val="4"/>
                <c:pt idx="0">
                  <c:v>2015</c:v>
                </c:pt>
                <c:pt idx="1">
                  <c:v>2016</c:v>
                </c:pt>
                <c:pt idx="2">
                  <c:v>2017</c:v>
                </c:pt>
                <c:pt idx="3">
                  <c:v>2018</c:v>
                </c:pt>
              </c:strCache>
            </c:strRef>
          </c:cat>
          <c:val>
            <c:numRef>
              <c:f>'Non Financial Input'!$L$4:$L$8</c:f>
              <c:numCache>
                <c:formatCode>General</c:formatCode>
                <c:ptCount val="4"/>
                <c:pt idx="0">
                  <c:v>177</c:v>
                </c:pt>
                <c:pt idx="1">
                  <c:v>837</c:v>
                </c:pt>
                <c:pt idx="2">
                  <c:v>858</c:v>
                </c:pt>
                <c:pt idx="3">
                  <c:v>924</c:v>
                </c:pt>
              </c:numCache>
            </c:numRef>
          </c:val>
          <c:smooth val="0"/>
          <c:extLst>
            <c:ext xmlns:c16="http://schemas.microsoft.com/office/drawing/2014/chart" uri="{C3380CC4-5D6E-409C-BE32-E72D297353CC}">
              <c16:uniqueId val="{00000001-CC68-43BB-91EC-5AF84ECFC958}"/>
            </c:ext>
          </c:extLst>
        </c:ser>
        <c:ser>
          <c:idx val="2"/>
          <c:order val="2"/>
          <c:tx>
            <c:strRef>
              <c:f>'Non Financial Input'!$M$2:$M$3</c:f>
              <c:strCache>
                <c:ptCount val="1"/>
                <c:pt idx="0">
                  <c:v>Particulates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Pt>
            <c:idx val="1"/>
            <c:marker>
              <c:symbol val="circle"/>
              <c:size val="5"/>
              <c:spPr>
                <a:solidFill>
                  <a:schemeClr val="accent3"/>
                </a:solidFill>
                <a:ln w="9525">
                  <a:solidFill>
                    <a:schemeClr val="accent3"/>
                  </a:solidFill>
                </a:ln>
                <a:effectLst/>
              </c:spPr>
            </c:marker>
            <c:bubble3D val="0"/>
            <c:spPr>
              <a:ln w="28575" cap="rnd">
                <a:solidFill>
                  <a:schemeClr val="accent3"/>
                </a:solidFill>
                <a:round/>
              </a:ln>
              <a:effectLst/>
            </c:spPr>
            <c:extLst>
              <c:ext xmlns:c16="http://schemas.microsoft.com/office/drawing/2014/chart" uri="{C3380CC4-5D6E-409C-BE32-E72D297353CC}">
                <c16:uniqueId val="{00000003-696D-4B40-A429-FC5F2ADC9807}"/>
              </c:ext>
            </c:extLst>
          </c:dPt>
          <c:dPt>
            <c:idx val="2"/>
            <c:marker>
              <c:symbol val="circle"/>
              <c:size val="5"/>
              <c:spPr>
                <a:solidFill>
                  <a:schemeClr val="accent3"/>
                </a:solidFill>
                <a:ln w="9525">
                  <a:solidFill>
                    <a:schemeClr val="accent3"/>
                  </a:solidFill>
                </a:ln>
                <a:effectLst/>
              </c:spPr>
            </c:marker>
            <c:bubble3D val="0"/>
            <c:spPr>
              <a:ln w="28575" cap="rnd">
                <a:solidFill>
                  <a:schemeClr val="accent3"/>
                </a:solidFill>
                <a:round/>
              </a:ln>
              <a:effectLst/>
            </c:spPr>
            <c:extLst>
              <c:ext xmlns:c16="http://schemas.microsoft.com/office/drawing/2014/chart" uri="{C3380CC4-5D6E-409C-BE32-E72D297353CC}">
                <c16:uniqueId val="{00000005-696D-4B40-A429-FC5F2ADC9807}"/>
              </c:ext>
            </c:extLst>
          </c:dPt>
          <c:dPt>
            <c:idx val="3"/>
            <c:marker>
              <c:symbol val="circle"/>
              <c:size val="5"/>
              <c:spPr>
                <a:solidFill>
                  <a:schemeClr val="accent3"/>
                </a:solidFill>
                <a:ln w="9525">
                  <a:solidFill>
                    <a:schemeClr val="accent3"/>
                  </a:solidFill>
                </a:ln>
                <a:effectLst/>
              </c:spPr>
            </c:marker>
            <c:bubble3D val="0"/>
            <c:spPr>
              <a:ln w="28575" cap="rnd">
                <a:solidFill>
                  <a:schemeClr val="accent3"/>
                </a:solidFill>
                <a:round/>
              </a:ln>
              <a:effectLst/>
            </c:spPr>
            <c:extLst>
              <c:ext xmlns:c16="http://schemas.microsoft.com/office/drawing/2014/chart" uri="{C3380CC4-5D6E-409C-BE32-E72D297353CC}">
                <c16:uniqueId val="{00000007-696D-4B40-A429-FC5F2ADC9807}"/>
              </c:ext>
            </c:extLst>
          </c:dPt>
          <c:dLbls>
            <c:dLbl>
              <c:idx val="1"/>
              <c:layout>
                <c:manualLayout>
                  <c:x val="-5.9459459459459491E-2"/>
                  <c:y val="-4.19497519958700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96D-4B40-A429-FC5F2ADC9807}"/>
                </c:ext>
              </c:extLst>
            </c:dLbl>
            <c:dLbl>
              <c:idx val="2"/>
              <c:layout>
                <c:manualLayout>
                  <c:x val="-5.9459459459459463E-2"/>
                  <c:y val="-5.31475209065431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96D-4B40-A429-FC5F2ADC9807}"/>
                </c:ext>
              </c:extLst>
            </c:dLbl>
            <c:dLbl>
              <c:idx val="3"/>
              <c:layout>
                <c:manualLayout>
                  <c:x val="-5.2252252252252253E-2"/>
                  <c:y val="-5.31475209065431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96D-4B40-A429-FC5F2ADC980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solidFill>
                    <a:latin typeface="+mn-lt"/>
                    <a:ea typeface="+mn-ea"/>
                    <a:cs typeface="+mn-cs"/>
                  </a:defRPr>
                </a:pPr>
                <a:endParaRPr lang="it-IT"/>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'Non Financial Input'!$J$4:$J$8</c:f>
              <c:strCache>
                <c:ptCount val="4"/>
                <c:pt idx="0">
                  <c:v>2015</c:v>
                </c:pt>
                <c:pt idx="1">
                  <c:v>2016</c:v>
                </c:pt>
                <c:pt idx="2">
                  <c:v>2017</c:v>
                </c:pt>
                <c:pt idx="3">
                  <c:v>2018</c:v>
                </c:pt>
              </c:strCache>
            </c:strRef>
          </c:cat>
          <c:val>
            <c:numRef>
              <c:f>'Non Financial Input'!$M$4:$M$8</c:f>
              <c:numCache>
                <c:formatCode>General</c:formatCode>
                <c:ptCount val="4"/>
                <c:pt idx="0">
                  <c:v>7</c:v>
                </c:pt>
                <c:pt idx="1">
                  <c:v>106</c:v>
                </c:pt>
                <c:pt idx="2">
                  <c:v>147</c:v>
                </c:pt>
                <c:pt idx="3">
                  <c:v>142</c:v>
                </c:pt>
              </c:numCache>
            </c:numRef>
          </c:val>
          <c:smooth val="0"/>
          <c:extLst>
            <c:ext xmlns:c16="http://schemas.microsoft.com/office/drawing/2014/chart" uri="{C3380CC4-5D6E-409C-BE32-E72D297353CC}">
              <c16:uniqueId val="{00000003-4249-43F4-9D00-506CDF7B6D26}"/>
            </c:ext>
          </c:extLst>
        </c:ser>
        <c:ser>
          <c:idx val="3"/>
          <c:order val="3"/>
          <c:tx>
            <c:strRef>
              <c:f>'Non Financial Input'!$N$2:$N$3</c:f>
              <c:strCache>
                <c:ptCount val="1"/>
                <c:pt idx="0">
                  <c:v>CO</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Pt>
            <c:idx val="1"/>
            <c:marker>
              <c:symbol val="circle"/>
              <c:size val="5"/>
              <c:spPr>
                <a:solidFill>
                  <a:schemeClr val="accent4"/>
                </a:solidFill>
                <a:ln w="9525">
                  <a:solidFill>
                    <a:schemeClr val="accent4"/>
                  </a:solidFill>
                </a:ln>
                <a:effectLst/>
              </c:spPr>
            </c:marker>
            <c:bubble3D val="0"/>
            <c:spPr>
              <a:ln w="28575" cap="rnd">
                <a:solidFill>
                  <a:schemeClr val="accent4"/>
                </a:solidFill>
                <a:round/>
              </a:ln>
              <a:effectLst/>
            </c:spPr>
            <c:extLst>
              <c:ext xmlns:c16="http://schemas.microsoft.com/office/drawing/2014/chart" uri="{C3380CC4-5D6E-409C-BE32-E72D297353CC}">
                <c16:uniqueId val="{00000009-696D-4B40-A429-FC5F2ADC9807}"/>
              </c:ext>
            </c:extLst>
          </c:dPt>
          <c:dLbls>
            <c:dLbl>
              <c:idx val="1"/>
              <c:layout>
                <c:manualLayout>
                  <c:x val="-5.1243243243243274E-2"/>
                  <c:y val="-0.1035374810045722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96D-4B40-A429-FC5F2ADC980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mn-lt"/>
                    <a:ea typeface="+mn-ea"/>
                    <a:cs typeface="+mn-cs"/>
                  </a:defRPr>
                </a:pPr>
                <a:endParaRPr lang="it-IT"/>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'Non Financial Input'!$J$4:$J$8</c:f>
              <c:strCache>
                <c:ptCount val="4"/>
                <c:pt idx="0">
                  <c:v>2015</c:v>
                </c:pt>
                <c:pt idx="1">
                  <c:v>2016</c:v>
                </c:pt>
                <c:pt idx="2">
                  <c:v>2017</c:v>
                </c:pt>
                <c:pt idx="3">
                  <c:v>2018</c:v>
                </c:pt>
              </c:strCache>
            </c:strRef>
          </c:cat>
          <c:val>
            <c:numRef>
              <c:f>'Non Financial Input'!$N$4:$N$8</c:f>
              <c:numCache>
                <c:formatCode>General</c:formatCode>
                <c:ptCount val="4"/>
                <c:pt idx="0">
                  <c:v>1229</c:v>
                </c:pt>
                <c:pt idx="1">
                  <c:v>1029</c:v>
                </c:pt>
                <c:pt idx="2">
                  <c:v>1244</c:v>
                </c:pt>
                <c:pt idx="3">
                  <c:v>1260</c:v>
                </c:pt>
              </c:numCache>
            </c:numRef>
          </c:val>
          <c:smooth val="0"/>
          <c:extLst>
            <c:ext xmlns:c16="http://schemas.microsoft.com/office/drawing/2014/chart" uri="{C3380CC4-5D6E-409C-BE32-E72D297353CC}">
              <c16:uniqueId val="{00000005-4249-43F4-9D00-506CDF7B6D26}"/>
            </c:ext>
          </c:extLst>
        </c:ser>
        <c:dLbls>
          <c:dLblPos val="t"/>
          <c:showLegendKey val="0"/>
          <c:showVal val="1"/>
          <c:showCatName val="0"/>
          <c:showSerName val="0"/>
          <c:showPercent val="0"/>
          <c:showBubbleSize val="0"/>
        </c:dLbls>
        <c:marker val="1"/>
        <c:smooth val="0"/>
        <c:axId val="172565984"/>
        <c:axId val="172555160"/>
      </c:lineChart>
      <c:catAx>
        <c:axId val="17256598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it-IT"/>
          </a:p>
        </c:txPr>
        <c:crossAx val="172555160"/>
        <c:crosses val="autoZero"/>
        <c:auto val="1"/>
        <c:lblAlgn val="ctr"/>
        <c:lblOffset val="100"/>
        <c:noMultiLvlLbl val="0"/>
      </c:catAx>
      <c:valAx>
        <c:axId val="172555160"/>
        <c:scaling>
          <c:orientation val="minMax"/>
          <c:min val="0"/>
        </c:scaling>
        <c:delete val="0"/>
        <c:axPos val="l"/>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72565984"/>
        <c:crosses val="autoZero"/>
        <c:crossBetween val="between"/>
        <c:dispUnits>
          <c:builtInUnit val="thousands"/>
        </c:dispUnits>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it-IT"/>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pivotSource>
    <c:name>[Databook IH19 (new format).xlsx]Non Financial Input!TabellaPivotCustomers</c:name>
    <c:fmtId val="2"/>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2"/>
          </a:solidFill>
          <a:ln>
            <a:noFill/>
          </a:ln>
          <a:effectLst/>
        </c:spPr>
        <c:marker>
          <c:symbol val="none"/>
        </c:marker>
      </c:pivotFmt>
      <c:pivotFmt>
        <c:idx val="13"/>
        <c:spPr>
          <a:solidFill>
            <a:schemeClr val="accent3"/>
          </a:solidFill>
          <a:ln>
            <a:noFill/>
          </a:ln>
          <a:effectLst/>
        </c:spPr>
        <c:marker>
          <c:symbol val="none"/>
        </c:marker>
      </c:pivotFmt>
      <c:pivotFmt>
        <c:idx val="14"/>
        <c:spPr>
          <a:solidFill>
            <a:schemeClr val="accent4"/>
          </a:solidFill>
          <a:ln>
            <a:noFill/>
          </a:ln>
          <a:effectLst/>
        </c:spPr>
        <c:marker>
          <c:symbol val="none"/>
        </c:marker>
      </c:pivotFmt>
      <c:pivotFmt>
        <c:idx val="15"/>
        <c:spPr>
          <a:solidFill>
            <a:schemeClr val="tx2"/>
          </a:solidFill>
          <a:ln>
            <a:noFill/>
          </a:ln>
          <a:effectLst/>
        </c:spPr>
        <c:marker>
          <c:symbol val="none"/>
        </c:marker>
      </c:pivotFmt>
      <c:pivotFmt>
        <c:idx val="16"/>
        <c:spPr>
          <a:solidFill>
            <a:schemeClr val="accent6"/>
          </a:solidFill>
          <a:ln>
            <a:noFill/>
          </a:ln>
          <a:effectLst/>
        </c:spPr>
        <c:marker>
          <c:symbol val="none"/>
        </c:marker>
      </c:pivotFmt>
      <c:pivotFmt>
        <c:idx val="17"/>
        <c:spPr>
          <a:solidFill>
            <a:schemeClr val="accent6">
              <a:lumMod val="60000"/>
              <a:lumOff val="40000"/>
            </a:schemeClr>
          </a:solidFill>
          <a:ln>
            <a:noFill/>
          </a:ln>
          <a:effectLst/>
        </c:spPr>
        <c:marker>
          <c:symbol val="none"/>
        </c:marker>
      </c:pivotFmt>
    </c:pivotFmts>
    <c:plotArea>
      <c:layout>
        <c:manualLayout>
          <c:layoutTarget val="inner"/>
          <c:xMode val="edge"/>
          <c:yMode val="edge"/>
          <c:x val="0.17301169289993415"/>
          <c:y val="6.7278319862418973E-2"/>
          <c:w val="0.78629632790569715"/>
          <c:h val="0.60046695103034065"/>
        </c:manualLayout>
      </c:layout>
      <c:barChart>
        <c:barDir val="col"/>
        <c:grouping val="stacked"/>
        <c:varyColors val="0"/>
        <c:ser>
          <c:idx val="0"/>
          <c:order val="0"/>
          <c:tx>
            <c:strRef>
              <c:f>'Non Financial Input'!$K$44:$K$46</c:f>
              <c:strCache>
                <c:ptCount val="1"/>
                <c:pt idx="0">
                  <c:v>Gas - Edison Energia</c:v>
                </c:pt>
              </c:strCache>
            </c:strRef>
          </c:tx>
          <c:spPr>
            <a:solidFill>
              <a:schemeClr val="accent2"/>
            </a:solidFill>
            <a:ln>
              <a:noFill/>
            </a:ln>
            <a:effectLst/>
          </c:spPr>
          <c:invertIfNegative val="0"/>
          <c:cat>
            <c:strRef>
              <c:f>'Non Financial Input'!$J$47:$J$51</c:f>
              <c:strCache>
                <c:ptCount val="4"/>
                <c:pt idx="0">
                  <c:v>2015</c:v>
                </c:pt>
                <c:pt idx="1">
                  <c:v>2016</c:v>
                </c:pt>
                <c:pt idx="2">
                  <c:v>2017</c:v>
                </c:pt>
                <c:pt idx="3">
                  <c:v>2018</c:v>
                </c:pt>
              </c:strCache>
            </c:strRef>
          </c:cat>
          <c:val>
            <c:numRef>
              <c:f>'Non Financial Input'!$K$47:$K$51</c:f>
              <c:numCache>
                <c:formatCode>General</c:formatCode>
                <c:ptCount val="4"/>
                <c:pt idx="0">
                  <c:v>5959</c:v>
                </c:pt>
                <c:pt idx="1">
                  <c:v>6466</c:v>
                </c:pt>
                <c:pt idx="2">
                  <c:v>6846</c:v>
                </c:pt>
                <c:pt idx="3">
                  <c:v>7294</c:v>
                </c:pt>
              </c:numCache>
            </c:numRef>
          </c:val>
          <c:extLst>
            <c:ext xmlns:c16="http://schemas.microsoft.com/office/drawing/2014/chart" uri="{C3380CC4-5D6E-409C-BE32-E72D297353CC}">
              <c16:uniqueId val="{00000000-B6E0-422C-BC8F-95919D8B0CC2}"/>
            </c:ext>
          </c:extLst>
        </c:ser>
        <c:ser>
          <c:idx val="1"/>
          <c:order val="1"/>
          <c:tx>
            <c:strRef>
              <c:f>'Non Financial Input'!$L$44:$L$46</c:f>
              <c:strCache>
                <c:ptCount val="1"/>
                <c:pt idx="0">
                  <c:v>Gas - AMG Gas </c:v>
                </c:pt>
              </c:strCache>
            </c:strRef>
          </c:tx>
          <c:spPr>
            <a:solidFill>
              <a:schemeClr val="accent3"/>
            </a:solidFill>
            <a:ln>
              <a:noFill/>
            </a:ln>
            <a:effectLst/>
          </c:spPr>
          <c:invertIfNegative val="0"/>
          <c:cat>
            <c:strRef>
              <c:f>'Non Financial Input'!$J$47:$J$51</c:f>
              <c:strCache>
                <c:ptCount val="4"/>
                <c:pt idx="0">
                  <c:v>2015</c:v>
                </c:pt>
                <c:pt idx="1">
                  <c:v>2016</c:v>
                </c:pt>
                <c:pt idx="2">
                  <c:v>2017</c:v>
                </c:pt>
                <c:pt idx="3">
                  <c:v>2018</c:v>
                </c:pt>
              </c:strCache>
            </c:strRef>
          </c:cat>
          <c:val>
            <c:numRef>
              <c:f>'Non Financial Input'!$L$47:$L$51</c:f>
              <c:numCache>
                <c:formatCode>General</c:formatCode>
                <c:ptCount val="4"/>
                <c:pt idx="0">
                  <c:v>75</c:v>
                </c:pt>
                <c:pt idx="1">
                  <c:v>65</c:v>
                </c:pt>
                <c:pt idx="2">
                  <c:v>65</c:v>
                </c:pt>
                <c:pt idx="3">
                  <c:v>69</c:v>
                </c:pt>
              </c:numCache>
            </c:numRef>
          </c:val>
          <c:extLst>
            <c:ext xmlns:c16="http://schemas.microsoft.com/office/drawing/2014/chart" uri="{C3380CC4-5D6E-409C-BE32-E72D297353CC}">
              <c16:uniqueId val="{00000001-B6E0-422C-BC8F-95919D8B0CC2}"/>
            </c:ext>
          </c:extLst>
        </c:ser>
        <c:ser>
          <c:idx val="2"/>
          <c:order val="2"/>
          <c:tx>
            <c:strRef>
              <c:f>'Non Financial Input'!$M$44:$M$46</c:f>
              <c:strCache>
                <c:ptCount val="1"/>
                <c:pt idx="0">
                  <c:v>Gas - Attiva</c:v>
                </c:pt>
              </c:strCache>
            </c:strRef>
          </c:tx>
          <c:spPr>
            <a:solidFill>
              <a:schemeClr val="accent4"/>
            </a:solidFill>
            <a:ln>
              <a:noFill/>
            </a:ln>
            <a:effectLst/>
          </c:spPr>
          <c:invertIfNegative val="0"/>
          <c:cat>
            <c:strRef>
              <c:f>'Non Financial Input'!$J$47:$J$51</c:f>
              <c:strCache>
                <c:ptCount val="4"/>
                <c:pt idx="0">
                  <c:v>2015</c:v>
                </c:pt>
                <c:pt idx="1">
                  <c:v>2016</c:v>
                </c:pt>
                <c:pt idx="2">
                  <c:v>2017</c:v>
                </c:pt>
                <c:pt idx="3">
                  <c:v>2018</c:v>
                </c:pt>
              </c:strCache>
            </c:strRef>
          </c:cat>
          <c:val>
            <c:numRef>
              <c:f>'Non Financial Input'!$M$47:$M$51</c:f>
              <c:numCache>
                <c:formatCode>General</c:formatCode>
                <c:ptCount val="4"/>
                <c:pt idx="0">
                  <c:v>0</c:v>
                </c:pt>
                <c:pt idx="1">
                  <c:v>0</c:v>
                </c:pt>
                <c:pt idx="2">
                  <c:v>0</c:v>
                </c:pt>
                <c:pt idx="3">
                  <c:v>10</c:v>
                </c:pt>
              </c:numCache>
            </c:numRef>
          </c:val>
          <c:extLst>
            <c:ext xmlns:c16="http://schemas.microsoft.com/office/drawing/2014/chart" uri="{C3380CC4-5D6E-409C-BE32-E72D297353CC}">
              <c16:uniqueId val="{00000002-B6E0-422C-BC8F-95919D8B0CC2}"/>
            </c:ext>
          </c:extLst>
        </c:ser>
        <c:ser>
          <c:idx val="3"/>
          <c:order val="3"/>
          <c:tx>
            <c:strRef>
              <c:f>'Non Financial Input'!$O$44:$O$46</c:f>
              <c:strCache>
                <c:ptCount val="1"/>
                <c:pt idx="0">
                  <c:v>Power - Residential</c:v>
                </c:pt>
              </c:strCache>
            </c:strRef>
          </c:tx>
          <c:spPr>
            <a:solidFill>
              <a:schemeClr val="tx2"/>
            </a:solidFill>
            <a:ln>
              <a:noFill/>
            </a:ln>
            <a:effectLst/>
          </c:spPr>
          <c:invertIfNegative val="0"/>
          <c:cat>
            <c:strRef>
              <c:f>'Non Financial Input'!$J$47:$J$51</c:f>
              <c:strCache>
                <c:ptCount val="4"/>
                <c:pt idx="0">
                  <c:v>2015</c:v>
                </c:pt>
                <c:pt idx="1">
                  <c:v>2016</c:v>
                </c:pt>
                <c:pt idx="2">
                  <c:v>2017</c:v>
                </c:pt>
                <c:pt idx="3">
                  <c:v>2018</c:v>
                </c:pt>
              </c:strCache>
            </c:strRef>
          </c:cat>
          <c:val>
            <c:numRef>
              <c:f>'Non Financial Input'!$O$47:$O$51</c:f>
              <c:numCache>
                <c:formatCode>General</c:formatCode>
                <c:ptCount val="4"/>
                <c:pt idx="0">
                  <c:v>1513</c:v>
                </c:pt>
                <c:pt idx="1">
                  <c:v>1218</c:v>
                </c:pt>
                <c:pt idx="2">
                  <c:v>1180</c:v>
                </c:pt>
                <c:pt idx="3">
                  <c:v>1219</c:v>
                </c:pt>
              </c:numCache>
            </c:numRef>
          </c:val>
          <c:extLst>
            <c:ext xmlns:c16="http://schemas.microsoft.com/office/drawing/2014/chart" uri="{C3380CC4-5D6E-409C-BE32-E72D297353CC}">
              <c16:uniqueId val="{00000003-D8D3-4DB9-88EA-B4F0228AB508}"/>
            </c:ext>
          </c:extLst>
        </c:ser>
        <c:ser>
          <c:idx val="4"/>
          <c:order val="4"/>
          <c:tx>
            <c:strRef>
              <c:f>'Non Financial Input'!$P$44:$P$46</c:f>
              <c:strCache>
                <c:ptCount val="1"/>
                <c:pt idx="0">
                  <c:v>Power - Business</c:v>
                </c:pt>
              </c:strCache>
            </c:strRef>
          </c:tx>
          <c:spPr>
            <a:solidFill>
              <a:schemeClr val="accent6"/>
            </a:solidFill>
            <a:ln>
              <a:noFill/>
            </a:ln>
            <a:effectLst/>
          </c:spPr>
          <c:invertIfNegative val="0"/>
          <c:cat>
            <c:strRef>
              <c:f>'Non Financial Input'!$J$47:$J$51</c:f>
              <c:strCache>
                <c:ptCount val="4"/>
                <c:pt idx="0">
                  <c:v>2015</c:v>
                </c:pt>
                <c:pt idx="1">
                  <c:v>2016</c:v>
                </c:pt>
                <c:pt idx="2">
                  <c:v>2017</c:v>
                </c:pt>
                <c:pt idx="3">
                  <c:v>2018</c:v>
                </c:pt>
              </c:strCache>
            </c:strRef>
          </c:cat>
          <c:val>
            <c:numRef>
              <c:f>'Non Financial Input'!$P$47:$P$51</c:f>
              <c:numCache>
                <c:formatCode>General</c:formatCode>
                <c:ptCount val="4"/>
                <c:pt idx="0">
                  <c:v>14502</c:v>
                </c:pt>
                <c:pt idx="1">
                  <c:v>9325</c:v>
                </c:pt>
                <c:pt idx="2">
                  <c:v>8855</c:v>
                </c:pt>
                <c:pt idx="3">
                  <c:v>11560</c:v>
                </c:pt>
              </c:numCache>
            </c:numRef>
          </c:val>
          <c:extLst>
            <c:ext xmlns:c16="http://schemas.microsoft.com/office/drawing/2014/chart" uri="{C3380CC4-5D6E-409C-BE32-E72D297353CC}">
              <c16:uniqueId val="{00000004-D8D3-4DB9-88EA-B4F0228AB508}"/>
            </c:ext>
          </c:extLst>
        </c:ser>
        <c:ser>
          <c:idx val="5"/>
          <c:order val="5"/>
          <c:tx>
            <c:strRef>
              <c:f>'Non Financial Input'!$Q$44:$Q$46</c:f>
              <c:strCache>
                <c:ptCount val="1"/>
                <c:pt idx="0">
                  <c:v>Power - Small Business</c:v>
                </c:pt>
              </c:strCache>
            </c:strRef>
          </c:tx>
          <c:spPr>
            <a:solidFill>
              <a:schemeClr val="accent6">
                <a:lumMod val="60000"/>
                <a:lumOff val="40000"/>
              </a:schemeClr>
            </a:solidFill>
            <a:ln>
              <a:noFill/>
            </a:ln>
            <a:effectLst/>
          </c:spPr>
          <c:invertIfNegative val="0"/>
          <c:cat>
            <c:strRef>
              <c:f>'Non Financial Input'!$J$47:$J$51</c:f>
              <c:strCache>
                <c:ptCount val="4"/>
                <c:pt idx="0">
                  <c:v>2015</c:v>
                </c:pt>
                <c:pt idx="1">
                  <c:v>2016</c:v>
                </c:pt>
                <c:pt idx="2">
                  <c:v>2017</c:v>
                </c:pt>
                <c:pt idx="3">
                  <c:v>2018</c:v>
                </c:pt>
              </c:strCache>
            </c:strRef>
          </c:cat>
          <c:val>
            <c:numRef>
              <c:f>'Non Financial Input'!$Q$47:$Q$51</c:f>
              <c:numCache>
                <c:formatCode>General</c:formatCode>
                <c:ptCount val="4"/>
                <c:pt idx="0">
                  <c:v>1094</c:v>
                </c:pt>
                <c:pt idx="1">
                  <c:v>1039</c:v>
                </c:pt>
                <c:pt idx="2">
                  <c:v>893</c:v>
                </c:pt>
                <c:pt idx="3">
                  <c:v>1005</c:v>
                </c:pt>
              </c:numCache>
            </c:numRef>
          </c:val>
          <c:extLst>
            <c:ext xmlns:c16="http://schemas.microsoft.com/office/drawing/2014/chart" uri="{C3380CC4-5D6E-409C-BE32-E72D297353CC}">
              <c16:uniqueId val="{00000005-D8D3-4DB9-88EA-B4F0228AB508}"/>
            </c:ext>
          </c:extLst>
        </c:ser>
        <c:dLbls>
          <c:showLegendKey val="0"/>
          <c:showVal val="0"/>
          <c:showCatName val="0"/>
          <c:showSerName val="0"/>
          <c:showPercent val="0"/>
          <c:showBubbleSize val="0"/>
        </c:dLbls>
        <c:gapWidth val="85"/>
        <c:overlap val="100"/>
        <c:axId val="525319912"/>
        <c:axId val="525316632"/>
      </c:barChart>
      <c:catAx>
        <c:axId val="525319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525316632"/>
        <c:crosses val="autoZero"/>
        <c:auto val="1"/>
        <c:lblAlgn val="ctr"/>
        <c:lblOffset val="100"/>
        <c:noMultiLvlLbl val="0"/>
      </c:catAx>
      <c:valAx>
        <c:axId val="5253166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525319912"/>
        <c:crosses val="autoZero"/>
        <c:crossBetween val="between"/>
      </c:valAx>
      <c:spPr>
        <a:noFill/>
        <a:ln>
          <a:noFill/>
        </a:ln>
        <a:effectLst/>
      </c:spPr>
    </c:plotArea>
    <c:legend>
      <c:legendPos val="b"/>
      <c:layout>
        <c:manualLayout>
          <c:xMode val="edge"/>
          <c:yMode val="edge"/>
          <c:x val="0.11741398248642848"/>
          <c:y val="0.77293336802223889"/>
          <c:w val="0.77996882708938164"/>
          <c:h val="0.2270666319777611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it-IT"/>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65618414741279"/>
          <c:y val="5.1168187671873103E-2"/>
          <c:w val="0.55944078858725821"/>
          <c:h val="0.83441359132550874"/>
        </c:manualLayout>
      </c:layout>
      <c:barChart>
        <c:barDir val="col"/>
        <c:grouping val="stacked"/>
        <c:varyColors val="0"/>
        <c:ser>
          <c:idx val="0"/>
          <c:order val="0"/>
          <c:tx>
            <c:strRef>
              <c:f>'FS Input'!$L$7</c:f>
              <c:strCache>
                <c:ptCount val="1"/>
                <c:pt idx="0">
                  <c:v>Net financial debt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'FS Input'!$M$6:$N$6</c:f>
              <c:strCache>
                <c:ptCount val="2"/>
                <c:pt idx="0">
                  <c:v>12/31/2017</c:v>
                </c:pt>
                <c:pt idx="1">
                  <c:v>12/31/2018</c:v>
                </c:pt>
              </c:strCache>
            </c:strRef>
          </c:cat>
          <c:val>
            <c:numRef>
              <c:f>'FS Input'!$M$7:$N$7</c:f>
              <c:numCache>
                <c:formatCode>General</c:formatCode>
                <c:ptCount val="2"/>
                <c:pt idx="0">
                  <c:v>116</c:v>
                </c:pt>
                <c:pt idx="1">
                  <c:v>416</c:v>
                </c:pt>
              </c:numCache>
            </c:numRef>
          </c:val>
          <c:extLst>
            <c:ext xmlns:c16="http://schemas.microsoft.com/office/drawing/2014/chart" uri="{C3380CC4-5D6E-409C-BE32-E72D297353CC}">
              <c16:uniqueId val="{00000000-AA24-48CB-90AA-2F68A58EA3B6}"/>
            </c:ext>
          </c:extLst>
        </c:ser>
        <c:ser>
          <c:idx val="1"/>
          <c:order val="1"/>
          <c:tx>
            <c:strRef>
              <c:f>'FS Input'!$L$8</c:f>
              <c:strCache>
                <c:ptCount val="1"/>
                <c:pt idx="0">
                  <c:v>Cash, chash equivalents and financial assets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'FS Input'!$M$6:$N$6</c:f>
              <c:strCache>
                <c:ptCount val="2"/>
                <c:pt idx="0">
                  <c:v>12/31/2017</c:v>
                </c:pt>
                <c:pt idx="1">
                  <c:v>12/31/2018</c:v>
                </c:pt>
              </c:strCache>
            </c:strRef>
          </c:cat>
          <c:val>
            <c:numRef>
              <c:f>'FS Input'!$M$8:$N$8</c:f>
              <c:numCache>
                <c:formatCode>General</c:formatCode>
                <c:ptCount val="2"/>
                <c:pt idx="0">
                  <c:v>266</c:v>
                </c:pt>
                <c:pt idx="1">
                  <c:v>155</c:v>
                </c:pt>
              </c:numCache>
            </c:numRef>
          </c:val>
          <c:extLst>
            <c:ext xmlns:c16="http://schemas.microsoft.com/office/drawing/2014/chart" uri="{C3380CC4-5D6E-409C-BE32-E72D297353CC}">
              <c16:uniqueId val="{00000001-AA24-48CB-90AA-2F68A58EA3B6}"/>
            </c:ext>
          </c:extLst>
        </c:ser>
        <c:dLbls>
          <c:dLblPos val="ctr"/>
          <c:showLegendKey val="0"/>
          <c:showVal val="1"/>
          <c:showCatName val="0"/>
          <c:showSerName val="0"/>
          <c:showPercent val="0"/>
          <c:showBubbleSize val="0"/>
        </c:dLbls>
        <c:gapWidth val="176"/>
        <c:overlap val="100"/>
        <c:axId val="476318432"/>
        <c:axId val="476317448"/>
      </c:barChart>
      <c:catAx>
        <c:axId val="47631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it-IT"/>
          </a:p>
        </c:txPr>
        <c:crossAx val="476317448"/>
        <c:crosses val="autoZero"/>
        <c:auto val="1"/>
        <c:lblAlgn val="ctr"/>
        <c:lblOffset val="100"/>
        <c:noMultiLvlLbl val="0"/>
      </c:catAx>
      <c:valAx>
        <c:axId val="476317448"/>
        <c:scaling>
          <c:orientation val="minMax"/>
        </c:scaling>
        <c:delete val="1"/>
        <c:axPos val="l"/>
        <c:numFmt formatCode="General" sourceLinked="1"/>
        <c:majorTickMark val="none"/>
        <c:minorTickMark val="none"/>
        <c:tickLblPos val="nextTo"/>
        <c:crossAx val="476318432"/>
        <c:crosses val="autoZero"/>
        <c:crossBetween val="between"/>
      </c:valAx>
      <c:spPr>
        <a:noFill/>
        <a:ln>
          <a:noFill/>
        </a:ln>
        <a:effectLst/>
      </c:spPr>
    </c:plotArea>
    <c:legend>
      <c:legendPos val="r"/>
      <c:layout>
        <c:manualLayout>
          <c:xMode val="edge"/>
          <c:yMode val="edge"/>
          <c:x val="0.65212178046532687"/>
          <c:y val="0.28508852441626342"/>
          <c:w val="0.33145111481188055"/>
          <c:h val="0.429822536795220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71982177144764"/>
          <c:y val="0.1150119899157977"/>
          <c:w val="0.71852379144819845"/>
          <c:h val="0.83406190950076731"/>
        </c:manualLayout>
      </c:layout>
      <c:doughnutChart>
        <c:varyColors val="1"/>
        <c:ser>
          <c:idx val="0"/>
          <c:order val="0"/>
          <c:spPr>
            <a:ln>
              <a:solidFill>
                <a:schemeClr val="bg1">
                  <a:lumMod val="95000"/>
                </a:schemeClr>
              </a:solidFill>
            </a:ln>
          </c:spPr>
          <c:dPt>
            <c:idx val="0"/>
            <c:bubble3D val="0"/>
            <c:spPr>
              <a:solidFill>
                <a:schemeClr val="bg2"/>
              </a:solidFill>
              <a:ln w="19050">
                <a:solidFill>
                  <a:schemeClr val="bg1">
                    <a:lumMod val="95000"/>
                  </a:schemeClr>
                </a:solidFill>
              </a:ln>
              <a:effectLst/>
            </c:spPr>
            <c:extLst>
              <c:ext xmlns:c16="http://schemas.microsoft.com/office/drawing/2014/chart" uri="{C3380CC4-5D6E-409C-BE32-E72D297353CC}">
                <c16:uniqueId val="{00000001-8265-40A3-8D4A-1B1EEE3D05DD}"/>
              </c:ext>
            </c:extLst>
          </c:dPt>
          <c:dPt>
            <c:idx val="1"/>
            <c:bubble3D val="0"/>
            <c:spPr>
              <a:solidFill>
                <a:schemeClr val="accent3"/>
              </a:solidFill>
              <a:ln w="19050">
                <a:solidFill>
                  <a:schemeClr val="bg1">
                    <a:lumMod val="95000"/>
                  </a:schemeClr>
                </a:solidFill>
              </a:ln>
              <a:effectLst/>
            </c:spPr>
            <c:extLst>
              <c:ext xmlns:c16="http://schemas.microsoft.com/office/drawing/2014/chart" uri="{C3380CC4-5D6E-409C-BE32-E72D297353CC}">
                <c16:uniqueId val="{00000003-8265-40A3-8D4A-1B1EEE3D05DD}"/>
              </c:ext>
            </c:extLst>
          </c:dPt>
          <c:dPt>
            <c:idx val="2"/>
            <c:bubble3D val="0"/>
            <c:spPr>
              <a:solidFill>
                <a:schemeClr val="tx2"/>
              </a:solidFill>
              <a:ln w="19050">
                <a:solidFill>
                  <a:schemeClr val="bg1">
                    <a:lumMod val="95000"/>
                  </a:schemeClr>
                </a:solidFill>
              </a:ln>
              <a:effectLst/>
            </c:spPr>
            <c:extLst>
              <c:ext xmlns:c16="http://schemas.microsoft.com/office/drawing/2014/chart" uri="{C3380CC4-5D6E-409C-BE32-E72D297353CC}">
                <c16:uniqueId val="{00000005-8265-40A3-8D4A-1B1EEE3D05DD}"/>
              </c:ext>
            </c:extLst>
          </c:dPt>
          <c:dPt>
            <c:idx val="3"/>
            <c:bubble3D val="0"/>
            <c:spPr>
              <a:solidFill>
                <a:schemeClr val="accent6"/>
              </a:solidFill>
              <a:ln w="19050">
                <a:solidFill>
                  <a:schemeClr val="bg1">
                    <a:lumMod val="95000"/>
                  </a:schemeClr>
                </a:solidFill>
              </a:ln>
              <a:effectLst/>
            </c:spPr>
            <c:extLst>
              <c:ext xmlns:c16="http://schemas.microsoft.com/office/drawing/2014/chart" uri="{C3380CC4-5D6E-409C-BE32-E72D297353CC}">
                <c16:uniqueId val="{00000007-8265-40A3-8D4A-1B1EEE3D05DD}"/>
              </c:ext>
            </c:extLst>
          </c:dPt>
          <c:dPt>
            <c:idx val="4"/>
            <c:bubble3D val="0"/>
            <c:spPr>
              <a:solidFill>
                <a:schemeClr val="accent5"/>
              </a:solidFill>
              <a:ln w="19050">
                <a:solidFill>
                  <a:schemeClr val="bg1">
                    <a:lumMod val="95000"/>
                  </a:schemeClr>
                </a:solidFill>
              </a:ln>
              <a:effectLst/>
            </c:spPr>
            <c:extLst>
              <c:ext xmlns:c16="http://schemas.microsoft.com/office/drawing/2014/chart" uri="{C3380CC4-5D6E-409C-BE32-E72D297353CC}">
                <c16:uniqueId val="{00000009-8265-40A3-8D4A-1B1EEE3D05DD}"/>
              </c:ext>
            </c:extLst>
          </c:dPt>
          <c:dLbls>
            <c:dLbl>
              <c:idx val="0"/>
              <c:layout>
                <c:manualLayout>
                  <c:x val="0.14123848171198863"/>
                  <c:y val="-0.143773371959081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65-40A3-8D4A-1B1EEE3D05DD}"/>
                </c:ext>
              </c:extLst>
            </c:dLbl>
            <c:dLbl>
              <c:idx val="1"/>
              <c:layout>
                <c:manualLayout>
                  <c:x val="-0.14545637084372562"/>
                  <c:y val="4.64681484954232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265-40A3-8D4A-1B1EEE3D05DD}"/>
                </c:ext>
              </c:extLst>
            </c:dLbl>
            <c:dLbl>
              <c:idx val="2"/>
              <c:layout>
                <c:manualLayout>
                  <c:x val="-9.267402474945334E-2"/>
                  <c:y val="-1.38888888888889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265-40A3-8D4A-1B1EEE3D05DD}"/>
                </c:ext>
              </c:extLst>
            </c:dLbl>
            <c:dLbl>
              <c:idx val="3"/>
              <c:layout>
                <c:manualLayout>
                  <c:x val="-6.446888678222841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265-40A3-8D4A-1B1EEE3D05DD}"/>
                </c:ext>
              </c:extLst>
            </c:dLbl>
            <c:dLbl>
              <c:idx val="4"/>
              <c:layout>
                <c:manualLayout>
                  <c:x val="-7.386974608835969E-17"/>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265-40A3-8D4A-1B1EEE3D05D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2">
                        <a:lumMod val="50000"/>
                      </a:schemeClr>
                    </a:solidFill>
                    <a:latin typeface="+mn-lt"/>
                    <a:ea typeface="+mn-ea"/>
                    <a:cs typeface="+mn-cs"/>
                  </a:defRPr>
                </a:pPr>
                <a:endParaRPr lang="it-I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'FS Input'!$L$12:$L$16</c:f>
              <c:strCache>
                <c:ptCount val="5"/>
                <c:pt idx="0">
                  <c:v>Due to banks</c:v>
                </c:pt>
                <c:pt idx="1">
                  <c:v>Due to EDF Group companies</c:v>
                </c:pt>
                <c:pt idx="2">
                  <c:v>Financial leasing</c:v>
                </c:pt>
                <c:pt idx="3">
                  <c:v>Due to other lenders</c:v>
                </c:pt>
                <c:pt idx="4">
                  <c:v>Bonds</c:v>
                </c:pt>
              </c:strCache>
            </c:strRef>
          </c:cat>
          <c:val>
            <c:numRef>
              <c:f>'FS Input'!$M$12:$M$16</c:f>
              <c:numCache>
                <c:formatCode>0%</c:formatCode>
                <c:ptCount val="5"/>
                <c:pt idx="0">
                  <c:v>0.52</c:v>
                </c:pt>
                <c:pt idx="1">
                  <c:v>0.22</c:v>
                </c:pt>
                <c:pt idx="2">
                  <c:v>0.01</c:v>
                </c:pt>
                <c:pt idx="3">
                  <c:v>0.24</c:v>
                </c:pt>
                <c:pt idx="4">
                  <c:v>0.01</c:v>
                </c:pt>
              </c:numCache>
            </c:numRef>
          </c:val>
          <c:extLst>
            <c:ext xmlns:c16="http://schemas.microsoft.com/office/drawing/2014/chart" uri="{C3380CC4-5D6E-409C-BE32-E72D297353CC}">
              <c16:uniqueId val="{0000000A-8265-40A3-8D4A-1B1EEE3D05DD}"/>
            </c:ext>
          </c:extLst>
        </c:ser>
        <c:ser>
          <c:idx val="1"/>
          <c:order val="1"/>
          <c:spPr>
            <a:ln>
              <a:noFill/>
            </a:ln>
          </c:spPr>
          <c:dPt>
            <c:idx val="0"/>
            <c:bubble3D val="0"/>
            <c:spPr>
              <a:noFill/>
              <a:ln w="19050">
                <a:noFill/>
              </a:ln>
              <a:effectLst/>
            </c:spPr>
            <c:extLst>
              <c:ext xmlns:c16="http://schemas.microsoft.com/office/drawing/2014/chart" uri="{C3380CC4-5D6E-409C-BE32-E72D297353CC}">
                <c16:uniqueId val="{0000000C-8265-40A3-8D4A-1B1EEE3D05DD}"/>
              </c:ext>
            </c:extLst>
          </c:dPt>
          <c:dPt>
            <c:idx val="1"/>
            <c:bubble3D val="0"/>
            <c:spPr>
              <a:pattFill prst="pct70">
                <a:fgClr>
                  <a:schemeClr val="accent4"/>
                </a:fgClr>
                <a:bgClr>
                  <a:schemeClr val="bg1"/>
                </a:bgClr>
              </a:pattFill>
              <a:ln w="19050">
                <a:solidFill>
                  <a:schemeClr val="bg1">
                    <a:lumMod val="95000"/>
                  </a:schemeClr>
                </a:solidFill>
              </a:ln>
              <a:effectLst/>
            </c:spPr>
            <c:extLst>
              <c:ext xmlns:c16="http://schemas.microsoft.com/office/drawing/2014/chart" uri="{C3380CC4-5D6E-409C-BE32-E72D297353CC}">
                <c16:uniqueId val="{0000000E-8265-40A3-8D4A-1B1EEE3D05DD}"/>
              </c:ext>
            </c:extLst>
          </c:dPt>
          <c:dPt>
            <c:idx val="2"/>
            <c:bubble3D val="0"/>
            <c:spPr>
              <a:noFill/>
              <a:ln w="19050">
                <a:noFill/>
              </a:ln>
              <a:effectLst/>
            </c:spPr>
            <c:extLst>
              <c:ext xmlns:c16="http://schemas.microsoft.com/office/drawing/2014/chart" uri="{C3380CC4-5D6E-409C-BE32-E72D297353CC}">
                <c16:uniqueId val="{00000010-8265-40A3-8D4A-1B1EEE3D05DD}"/>
              </c:ext>
            </c:extLst>
          </c:dPt>
          <c:dPt>
            <c:idx val="3"/>
            <c:bubble3D val="0"/>
            <c:spPr>
              <a:solidFill>
                <a:schemeClr val="accent4"/>
              </a:solidFill>
              <a:ln w="19050">
                <a:noFill/>
              </a:ln>
              <a:effectLst/>
            </c:spPr>
            <c:extLst>
              <c:ext xmlns:c16="http://schemas.microsoft.com/office/drawing/2014/chart" uri="{C3380CC4-5D6E-409C-BE32-E72D297353CC}">
                <c16:uniqueId val="{00000012-8265-40A3-8D4A-1B1EEE3D05DD}"/>
              </c:ext>
            </c:extLst>
          </c:dPt>
          <c:dPt>
            <c:idx val="4"/>
            <c:bubble3D val="0"/>
            <c:spPr>
              <a:solidFill>
                <a:schemeClr val="accent5"/>
              </a:solidFill>
              <a:ln w="19050">
                <a:noFill/>
              </a:ln>
              <a:effectLst/>
            </c:spPr>
            <c:extLst>
              <c:ext xmlns:c16="http://schemas.microsoft.com/office/drawing/2014/chart" uri="{C3380CC4-5D6E-409C-BE32-E72D297353CC}">
                <c16:uniqueId val="{00000014-8265-40A3-8D4A-1B1EEE3D05DD}"/>
              </c:ext>
            </c:extLst>
          </c:dPt>
          <c:dLbls>
            <c:dLbl>
              <c:idx val="0"/>
              <c:delete val="1"/>
              <c:extLst>
                <c:ext xmlns:c15="http://schemas.microsoft.com/office/drawing/2012/chart" uri="{CE6537A1-D6FC-4f65-9D91-7224C49458BB}"/>
                <c:ext xmlns:c16="http://schemas.microsoft.com/office/drawing/2014/chart" uri="{C3380CC4-5D6E-409C-BE32-E72D297353CC}">
                  <c16:uniqueId val="{0000000C-8265-40A3-8D4A-1B1EEE3D05DD}"/>
                </c:ext>
              </c:extLst>
            </c:dLbl>
            <c:dLbl>
              <c:idx val="1"/>
              <c:layout>
                <c:manualLayout>
                  <c:x val="9.2674173496952408E-2"/>
                  <c:y val="3.26622608479704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265-40A3-8D4A-1B1EEE3D05DD}"/>
                </c:ext>
              </c:extLst>
            </c:dLbl>
            <c:dLbl>
              <c:idx val="2"/>
              <c:delete val="1"/>
              <c:extLst>
                <c:ext xmlns:c15="http://schemas.microsoft.com/office/drawing/2012/chart" uri="{CE6537A1-D6FC-4f65-9D91-7224C49458BB}"/>
                <c:ext xmlns:c16="http://schemas.microsoft.com/office/drawing/2014/chart" uri="{C3380CC4-5D6E-409C-BE32-E72D297353CC}">
                  <c16:uniqueId val="{00000010-8265-40A3-8D4A-1B1EEE3D05D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2">
                        <a:lumMod val="50000"/>
                      </a:schemeClr>
                    </a:solidFill>
                    <a:latin typeface="+mn-lt"/>
                    <a:ea typeface="+mn-ea"/>
                    <a:cs typeface="+mn-cs"/>
                  </a:defRPr>
                </a:pPr>
                <a:endParaRPr lang="it-I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'FS Input'!$L$12:$L$16</c:f>
              <c:strCache>
                <c:ptCount val="5"/>
                <c:pt idx="0">
                  <c:v>Due to banks</c:v>
                </c:pt>
                <c:pt idx="1">
                  <c:v>Due to EDF Group companies</c:v>
                </c:pt>
                <c:pt idx="2">
                  <c:v>Financial leasing</c:v>
                </c:pt>
                <c:pt idx="3">
                  <c:v>Due to other lenders</c:v>
                </c:pt>
                <c:pt idx="4">
                  <c:v>Bonds</c:v>
                </c:pt>
              </c:strCache>
            </c:strRef>
          </c:cat>
          <c:val>
            <c:numRef>
              <c:f>'FS Input'!$N$12:$N$16</c:f>
              <c:numCache>
                <c:formatCode>0%</c:formatCode>
                <c:ptCount val="5"/>
                <c:pt idx="0">
                  <c:v>0.11</c:v>
                </c:pt>
                <c:pt idx="1">
                  <c:v>0.62</c:v>
                </c:pt>
                <c:pt idx="2">
                  <c:v>0.27</c:v>
                </c:pt>
              </c:numCache>
            </c:numRef>
          </c:val>
          <c:extLst>
            <c:ext xmlns:c16="http://schemas.microsoft.com/office/drawing/2014/chart" uri="{C3380CC4-5D6E-409C-BE32-E72D297353CC}">
              <c16:uniqueId val="{00000015-8265-40A3-8D4A-1B1EEE3D05DD}"/>
            </c:ext>
          </c:extLst>
        </c:ser>
        <c:dLbls>
          <c:showLegendKey val="0"/>
          <c:showVal val="1"/>
          <c:showCatName val="0"/>
          <c:showSerName val="0"/>
          <c:showPercent val="0"/>
          <c:showBubbleSize val="0"/>
          <c:showLeaderLines val="1"/>
        </c:dLbls>
        <c:firstSliceAng val="0"/>
        <c:holeSize val="58"/>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696961842138032E-2"/>
          <c:y val="0.15362329896544238"/>
          <c:w val="0.57463064799786456"/>
          <c:h val="0.78573712964538678"/>
        </c:manualLayout>
      </c:layout>
      <c:doughnutChart>
        <c:varyColors val="1"/>
        <c:ser>
          <c:idx val="0"/>
          <c:order val="0"/>
          <c:spPr>
            <a:ln>
              <a:solidFill>
                <a:schemeClr val="bg1">
                  <a:lumMod val="95000"/>
                </a:schemeClr>
              </a:solidFill>
            </a:ln>
          </c:spPr>
          <c:dPt>
            <c:idx val="0"/>
            <c:bubble3D val="0"/>
            <c:spPr>
              <a:solidFill>
                <a:schemeClr val="bg2"/>
              </a:solidFill>
              <a:ln w="19050">
                <a:solidFill>
                  <a:schemeClr val="bg1">
                    <a:lumMod val="95000"/>
                  </a:schemeClr>
                </a:solidFill>
              </a:ln>
              <a:effectLst/>
            </c:spPr>
            <c:extLst>
              <c:ext xmlns:c16="http://schemas.microsoft.com/office/drawing/2014/chart" uri="{C3380CC4-5D6E-409C-BE32-E72D297353CC}">
                <c16:uniqueId val="{00000001-3DEF-40CE-A00F-CC92126D7374}"/>
              </c:ext>
            </c:extLst>
          </c:dPt>
          <c:dPt>
            <c:idx val="1"/>
            <c:bubble3D val="0"/>
            <c:spPr>
              <a:solidFill>
                <a:schemeClr val="accent3"/>
              </a:solidFill>
              <a:ln w="19050">
                <a:solidFill>
                  <a:schemeClr val="bg1">
                    <a:lumMod val="95000"/>
                  </a:schemeClr>
                </a:solidFill>
              </a:ln>
              <a:effectLst/>
            </c:spPr>
            <c:extLst>
              <c:ext xmlns:c16="http://schemas.microsoft.com/office/drawing/2014/chart" uri="{C3380CC4-5D6E-409C-BE32-E72D297353CC}">
                <c16:uniqueId val="{00000003-3DEF-40CE-A00F-CC92126D7374}"/>
              </c:ext>
            </c:extLst>
          </c:dPt>
          <c:dPt>
            <c:idx val="2"/>
            <c:bubble3D val="0"/>
            <c:spPr>
              <a:solidFill>
                <a:schemeClr val="tx2"/>
              </a:solidFill>
              <a:ln w="19050">
                <a:solidFill>
                  <a:schemeClr val="bg1">
                    <a:lumMod val="95000"/>
                  </a:schemeClr>
                </a:solidFill>
              </a:ln>
              <a:effectLst/>
            </c:spPr>
            <c:extLst>
              <c:ext xmlns:c16="http://schemas.microsoft.com/office/drawing/2014/chart" uri="{C3380CC4-5D6E-409C-BE32-E72D297353CC}">
                <c16:uniqueId val="{00000005-3DEF-40CE-A00F-CC92126D7374}"/>
              </c:ext>
            </c:extLst>
          </c:dPt>
          <c:dPt>
            <c:idx val="3"/>
            <c:bubble3D val="0"/>
            <c:spPr>
              <a:solidFill>
                <a:schemeClr val="accent6"/>
              </a:solidFill>
              <a:ln w="19050">
                <a:solidFill>
                  <a:schemeClr val="bg1">
                    <a:lumMod val="95000"/>
                  </a:schemeClr>
                </a:solidFill>
              </a:ln>
              <a:effectLst/>
            </c:spPr>
            <c:extLst>
              <c:ext xmlns:c16="http://schemas.microsoft.com/office/drawing/2014/chart" uri="{C3380CC4-5D6E-409C-BE32-E72D297353CC}">
                <c16:uniqueId val="{00000007-3DEF-40CE-A00F-CC92126D7374}"/>
              </c:ext>
            </c:extLst>
          </c:dPt>
          <c:dPt>
            <c:idx val="4"/>
            <c:bubble3D val="0"/>
            <c:spPr>
              <a:solidFill>
                <a:schemeClr val="accent5"/>
              </a:solidFill>
              <a:ln w="19050">
                <a:solidFill>
                  <a:schemeClr val="bg1">
                    <a:lumMod val="95000"/>
                  </a:schemeClr>
                </a:solidFill>
              </a:ln>
              <a:effectLst/>
            </c:spPr>
            <c:extLst>
              <c:ext xmlns:c16="http://schemas.microsoft.com/office/drawing/2014/chart" uri="{C3380CC4-5D6E-409C-BE32-E72D297353CC}">
                <c16:uniqueId val="{00000009-3DEF-40CE-A00F-CC92126D7374}"/>
              </c:ext>
            </c:extLst>
          </c:dPt>
          <c:dLbls>
            <c:dLbl>
              <c:idx val="0"/>
              <c:layout>
                <c:manualLayout>
                  <c:x val="9.8593788758034748E-2"/>
                  <c:y val="-0.1186147021025638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EF-40CE-A00F-CC92126D7374}"/>
                </c:ext>
              </c:extLst>
            </c:dLbl>
            <c:dLbl>
              <c:idx val="1"/>
              <c:layout>
                <c:manualLayout>
                  <c:x val="-9.5787116947233714E-2"/>
                  <c:y val="-8.21572551067712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EF-40CE-A00F-CC92126D7374}"/>
                </c:ext>
              </c:extLst>
            </c:dLbl>
            <c:dLbl>
              <c:idx val="2"/>
              <c:layout>
                <c:manualLayout>
                  <c:x val="-3.5638618793057589E-2"/>
                  <c:y val="-2.96670746862765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EF-40CE-A00F-CC92126D7374}"/>
                </c:ext>
              </c:extLst>
            </c:dLbl>
            <c:dLbl>
              <c:idx val="3"/>
              <c:layout>
                <c:manualLayout>
                  <c:x val="-3.5573492315126611E-2"/>
                  <c:y val="-4.08459547799144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EF-40CE-A00F-CC92126D7374}"/>
                </c:ext>
              </c:extLst>
            </c:dLbl>
            <c:dLbl>
              <c:idx val="4"/>
              <c:delete val="1"/>
              <c:extLst>
                <c:ext xmlns:c15="http://schemas.microsoft.com/office/drawing/2012/chart" uri="{CE6537A1-D6FC-4f65-9D91-7224C49458BB}"/>
                <c:ext xmlns:c16="http://schemas.microsoft.com/office/drawing/2014/chart" uri="{C3380CC4-5D6E-409C-BE32-E72D297353CC}">
                  <c16:uniqueId val="{00000009-3DEF-40CE-A00F-CC92126D737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2">
                        <a:lumMod val="50000"/>
                      </a:schemeClr>
                    </a:solidFill>
                    <a:latin typeface="+mn-lt"/>
                    <a:ea typeface="+mn-ea"/>
                    <a:cs typeface="+mn-cs"/>
                  </a:defRPr>
                </a:pPr>
                <a:endParaRPr lang="it-I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'FS Input'!$L$12:$L$16</c:f>
              <c:strCache>
                <c:ptCount val="5"/>
                <c:pt idx="0">
                  <c:v>Due to banks</c:v>
                </c:pt>
                <c:pt idx="1">
                  <c:v>Due to EDF Group companies</c:v>
                </c:pt>
                <c:pt idx="2">
                  <c:v>Financial leasing</c:v>
                </c:pt>
                <c:pt idx="3">
                  <c:v>Due to other lenders</c:v>
                </c:pt>
                <c:pt idx="4">
                  <c:v>Bonds</c:v>
                </c:pt>
              </c:strCache>
            </c:strRef>
          </c:cat>
          <c:val>
            <c:numRef>
              <c:f>'FS Input'!$O$12:$O$16</c:f>
              <c:numCache>
                <c:formatCode>0%</c:formatCode>
                <c:ptCount val="5"/>
                <c:pt idx="0">
                  <c:v>0.69</c:v>
                </c:pt>
                <c:pt idx="1">
                  <c:v>0.13</c:v>
                </c:pt>
                <c:pt idx="2">
                  <c:v>0.02</c:v>
                </c:pt>
                <c:pt idx="3">
                  <c:v>0.16</c:v>
                </c:pt>
                <c:pt idx="4">
                  <c:v>0</c:v>
                </c:pt>
              </c:numCache>
            </c:numRef>
          </c:val>
          <c:extLst>
            <c:ext xmlns:c16="http://schemas.microsoft.com/office/drawing/2014/chart" uri="{C3380CC4-5D6E-409C-BE32-E72D297353CC}">
              <c16:uniqueId val="{0000000A-3DEF-40CE-A00F-CC92126D7374}"/>
            </c:ext>
          </c:extLst>
        </c:ser>
        <c:ser>
          <c:idx val="1"/>
          <c:order val="1"/>
          <c:dPt>
            <c:idx val="0"/>
            <c:bubble3D val="0"/>
            <c:spPr>
              <a:noFill/>
              <a:ln w="19050">
                <a:noFill/>
              </a:ln>
              <a:effectLst/>
            </c:spPr>
            <c:extLst>
              <c:ext xmlns:c16="http://schemas.microsoft.com/office/drawing/2014/chart" uri="{C3380CC4-5D6E-409C-BE32-E72D297353CC}">
                <c16:uniqueId val="{0000000C-3DEF-40CE-A00F-CC92126D7374}"/>
              </c:ext>
            </c:extLst>
          </c:dPt>
          <c:dPt>
            <c:idx val="1"/>
            <c:bubble3D val="0"/>
            <c:spPr>
              <a:pattFill prst="pct70">
                <a:fgClr>
                  <a:schemeClr val="accent4"/>
                </a:fgClr>
                <a:bgClr>
                  <a:schemeClr val="bg1"/>
                </a:bgClr>
              </a:pattFill>
              <a:ln w="19050">
                <a:solidFill>
                  <a:schemeClr val="bg1">
                    <a:lumMod val="95000"/>
                  </a:schemeClr>
                </a:solidFill>
              </a:ln>
              <a:effectLst/>
            </c:spPr>
            <c:extLst>
              <c:ext xmlns:c16="http://schemas.microsoft.com/office/drawing/2014/chart" uri="{C3380CC4-5D6E-409C-BE32-E72D297353CC}">
                <c16:uniqueId val="{0000000E-3DEF-40CE-A00F-CC92126D7374}"/>
              </c:ext>
            </c:extLst>
          </c:dPt>
          <c:dPt>
            <c:idx val="2"/>
            <c:bubble3D val="0"/>
            <c:spPr>
              <a:noFill/>
              <a:ln w="19050">
                <a:noFill/>
              </a:ln>
              <a:effectLst/>
            </c:spPr>
            <c:extLst>
              <c:ext xmlns:c16="http://schemas.microsoft.com/office/drawing/2014/chart" uri="{C3380CC4-5D6E-409C-BE32-E72D297353CC}">
                <c16:uniqueId val="{00000010-3DEF-40CE-A00F-CC92126D737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3DEF-40CE-A00F-CC92126D737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3DEF-40CE-A00F-CC92126D7374}"/>
              </c:ext>
            </c:extLst>
          </c:dPt>
          <c:dLbls>
            <c:dLbl>
              <c:idx val="0"/>
              <c:delete val="1"/>
              <c:extLst>
                <c:ext xmlns:c15="http://schemas.microsoft.com/office/drawing/2012/chart" uri="{CE6537A1-D6FC-4f65-9D91-7224C49458BB}"/>
                <c:ext xmlns:c16="http://schemas.microsoft.com/office/drawing/2014/chart" uri="{C3380CC4-5D6E-409C-BE32-E72D297353CC}">
                  <c16:uniqueId val="{0000000C-3DEF-40CE-A00F-CC92126D7374}"/>
                </c:ext>
              </c:extLst>
            </c:dLbl>
            <c:dLbl>
              <c:idx val="1"/>
              <c:layout>
                <c:manualLayout>
                  <c:x val="-3.5589800194149618E-2"/>
                  <c:y val="5.57331979743091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DEF-40CE-A00F-CC92126D7374}"/>
                </c:ext>
              </c:extLst>
            </c:dLbl>
            <c:dLbl>
              <c:idx val="2"/>
              <c:delete val="1"/>
              <c:extLst>
                <c:ext xmlns:c15="http://schemas.microsoft.com/office/drawing/2012/chart" uri="{CE6537A1-D6FC-4f65-9D91-7224C49458BB}"/>
                <c:ext xmlns:c16="http://schemas.microsoft.com/office/drawing/2014/chart" uri="{C3380CC4-5D6E-409C-BE32-E72D297353CC}">
                  <c16:uniqueId val="{00000010-3DEF-40CE-A00F-CC92126D737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2">
                        <a:lumMod val="50000"/>
                      </a:schemeClr>
                    </a:solidFill>
                    <a:latin typeface="+mn-lt"/>
                    <a:ea typeface="+mn-ea"/>
                    <a:cs typeface="+mn-cs"/>
                  </a:defRPr>
                </a:pPr>
                <a:endParaRPr lang="it-I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'FS Input'!$L$12:$L$16</c:f>
              <c:strCache>
                <c:ptCount val="5"/>
                <c:pt idx="0">
                  <c:v>Due to banks</c:v>
                </c:pt>
                <c:pt idx="1">
                  <c:v>Due to EDF Group companies</c:v>
                </c:pt>
                <c:pt idx="2">
                  <c:v>Financial leasing</c:v>
                </c:pt>
                <c:pt idx="3">
                  <c:v>Due to other lenders</c:v>
                </c:pt>
                <c:pt idx="4">
                  <c:v>Bonds</c:v>
                </c:pt>
              </c:strCache>
            </c:strRef>
          </c:cat>
          <c:val>
            <c:numRef>
              <c:f>'FS Input'!$P$12:$P$16</c:f>
              <c:numCache>
                <c:formatCode>0%</c:formatCode>
                <c:ptCount val="5"/>
                <c:pt idx="0">
                  <c:v>0.28000000000000003</c:v>
                </c:pt>
                <c:pt idx="1">
                  <c:v>0.52</c:v>
                </c:pt>
                <c:pt idx="2">
                  <c:v>0.2</c:v>
                </c:pt>
              </c:numCache>
            </c:numRef>
          </c:val>
          <c:extLst>
            <c:ext xmlns:c16="http://schemas.microsoft.com/office/drawing/2014/chart" uri="{C3380CC4-5D6E-409C-BE32-E72D297353CC}">
              <c16:uniqueId val="{00000015-3DEF-40CE-A00F-CC92126D7374}"/>
            </c:ext>
          </c:extLst>
        </c:ser>
        <c:ser>
          <c:idx val="2"/>
          <c:order val="2"/>
          <c:spPr>
            <a:ln>
              <a:noFill/>
            </a:ln>
          </c:spPr>
          <c:dPt>
            <c:idx val="0"/>
            <c:bubble3D val="0"/>
            <c:spPr>
              <a:solidFill>
                <a:schemeClr val="accent1"/>
              </a:solidFill>
              <a:ln w="19050">
                <a:noFill/>
              </a:ln>
              <a:effectLst/>
            </c:spPr>
            <c:extLst>
              <c:ext xmlns:c16="http://schemas.microsoft.com/office/drawing/2014/chart" uri="{C3380CC4-5D6E-409C-BE32-E72D297353CC}">
                <c16:uniqueId val="{00000017-3DEF-40CE-A00F-CC92126D7374}"/>
              </c:ext>
            </c:extLst>
          </c:dPt>
          <c:dPt>
            <c:idx val="1"/>
            <c:bubble3D val="0"/>
            <c:spPr>
              <a:solidFill>
                <a:schemeClr val="accent2"/>
              </a:solidFill>
              <a:ln w="19050">
                <a:noFill/>
              </a:ln>
              <a:effectLst/>
            </c:spPr>
            <c:extLst>
              <c:ext xmlns:c16="http://schemas.microsoft.com/office/drawing/2014/chart" uri="{C3380CC4-5D6E-409C-BE32-E72D297353CC}">
                <c16:uniqueId val="{00000019-3DEF-40CE-A00F-CC92126D7374}"/>
              </c:ext>
            </c:extLst>
          </c:dPt>
          <c:dPt>
            <c:idx val="2"/>
            <c:bubble3D val="0"/>
            <c:spPr>
              <a:solidFill>
                <a:schemeClr val="accent3"/>
              </a:solidFill>
              <a:ln w="19050">
                <a:noFill/>
              </a:ln>
              <a:effectLst/>
            </c:spPr>
            <c:extLst>
              <c:ext xmlns:c16="http://schemas.microsoft.com/office/drawing/2014/chart" uri="{C3380CC4-5D6E-409C-BE32-E72D297353CC}">
                <c16:uniqueId val="{0000001B-3DEF-40CE-A00F-CC92126D7374}"/>
              </c:ext>
            </c:extLst>
          </c:dPt>
          <c:dPt>
            <c:idx val="3"/>
            <c:bubble3D val="0"/>
            <c:spPr>
              <a:solidFill>
                <a:schemeClr val="accent4"/>
              </a:solidFill>
              <a:ln w="19050">
                <a:noFill/>
              </a:ln>
              <a:effectLst/>
            </c:spPr>
            <c:extLst>
              <c:ext xmlns:c16="http://schemas.microsoft.com/office/drawing/2014/chart" uri="{C3380CC4-5D6E-409C-BE32-E72D297353CC}">
                <c16:uniqueId val="{0000001D-3DEF-40CE-A00F-CC92126D7374}"/>
              </c:ext>
            </c:extLst>
          </c:dPt>
          <c:dPt>
            <c:idx val="4"/>
            <c:bubble3D val="0"/>
            <c:spPr>
              <a:solidFill>
                <a:schemeClr val="accent5"/>
              </a:solidFill>
              <a:ln w="19050">
                <a:noFill/>
              </a:ln>
              <a:effectLst/>
            </c:spPr>
            <c:extLst>
              <c:ext xmlns:c16="http://schemas.microsoft.com/office/drawing/2014/chart" uri="{C3380CC4-5D6E-409C-BE32-E72D297353CC}">
                <c16:uniqueId val="{0000001F-3DEF-40CE-A00F-CC92126D7374}"/>
              </c:ext>
            </c:extLst>
          </c:dPt>
          <c:cat>
            <c:strRef>
              <c:f>'FS Input'!$L$12:$L$16</c:f>
              <c:strCache>
                <c:ptCount val="5"/>
                <c:pt idx="0">
                  <c:v>Due to banks</c:v>
                </c:pt>
                <c:pt idx="1">
                  <c:v>Due to EDF Group companies</c:v>
                </c:pt>
                <c:pt idx="2">
                  <c:v>Financial leasing</c:v>
                </c:pt>
                <c:pt idx="3">
                  <c:v>Due to other lenders</c:v>
                </c:pt>
                <c:pt idx="4">
                  <c:v>Bonds</c:v>
                </c:pt>
              </c:strCache>
            </c:strRef>
          </c:cat>
          <c:val>
            <c:numRef>
              <c:f>'FS Input'!$Q$12:$Q$16</c:f>
              <c:numCache>
                <c:formatCode>General</c:formatCode>
                <c:ptCount val="5"/>
              </c:numCache>
            </c:numRef>
          </c:val>
          <c:extLst>
            <c:ext xmlns:c16="http://schemas.microsoft.com/office/drawing/2014/chart" uri="{C3380CC4-5D6E-409C-BE32-E72D297353CC}">
              <c16:uniqueId val="{00000020-3DEF-40CE-A00F-CC92126D7374}"/>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pivotSource>
    <c:name>[Databook IH19 (new format).xlsx]FS Input!TabellaPivotFS1</c:name>
    <c:fmtId val="2"/>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solidFill>
                  <a:latin typeface="Arial" panose="020B0604020202020204" pitchFamily="34" charset="0"/>
                  <a:ea typeface="+mn-ea"/>
                  <a:cs typeface="Arial" panose="020B0604020202020204" pitchFamily="34" charset="0"/>
                </a:defRPr>
              </a:pPr>
              <a:endParaRPr lang="it-IT"/>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5"/>
                  </a:solidFill>
                  <a:latin typeface="Arial" panose="020B0604020202020204" pitchFamily="34" charset="0"/>
                  <a:ea typeface="+mn-ea"/>
                  <a:cs typeface="Arial" panose="020B0604020202020204" pitchFamily="34" charset="0"/>
                </a:defRPr>
              </a:pPr>
              <a:endParaRPr lang="it-IT"/>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4"/>
                  </a:solidFill>
                  <a:latin typeface="Arial" panose="020B0604020202020204" pitchFamily="34" charset="0"/>
                  <a:ea typeface="+mn-ea"/>
                  <a:cs typeface="Arial" panose="020B0604020202020204" pitchFamily="34" charset="0"/>
                </a:defRPr>
              </a:pPr>
              <a:endParaRPr lang="it-IT"/>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Arial" panose="020B0604020202020204" pitchFamily="34" charset="0"/>
                  <a:ea typeface="+mn-ea"/>
                  <a:cs typeface="Arial" panose="020B0604020202020204" pitchFamily="34" charset="0"/>
                </a:defRPr>
              </a:pPr>
              <a:endParaRPr lang="it-IT"/>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2"/>
                  </a:solidFill>
                  <a:latin typeface="Arial" panose="020B0604020202020204" pitchFamily="34" charset="0"/>
                  <a:ea typeface="+mn-ea"/>
                  <a:cs typeface="Arial" panose="020B0604020202020204" pitchFamily="34" charset="0"/>
                </a:defRPr>
              </a:pPr>
              <a:endParaRPr lang="it-IT"/>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4"/>
                  </a:solidFill>
                  <a:latin typeface="Arial" panose="020B0604020202020204" pitchFamily="34" charset="0"/>
                  <a:ea typeface="+mn-ea"/>
                  <a:cs typeface="Arial" panose="020B0604020202020204" pitchFamily="34" charset="0"/>
                </a:defRPr>
              </a:pPr>
              <a:endParaRPr lang="it-IT"/>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5"/>
                  </a:solidFill>
                  <a:latin typeface="Arial" panose="020B0604020202020204" pitchFamily="34" charset="0"/>
                  <a:ea typeface="+mn-ea"/>
                  <a:cs typeface="Arial" panose="020B0604020202020204" pitchFamily="34" charset="0"/>
                </a:defRPr>
              </a:pPr>
              <a:endParaRPr lang="it-IT"/>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bg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2"/>
                  </a:solidFill>
                  <a:latin typeface="Arial" panose="020B0604020202020204" pitchFamily="34" charset="0"/>
                  <a:ea typeface="+mn-ea"/>
                  <a:cs typeface="Arial" panose="020B0604020202020204" pitchFamily="34" charset="0"/>
                </a:defRPr>
              </a:pPr>
              <a:endParaRPr lang="it-IT"/>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tx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Arial" panose="020B0604020202020204" pitchFamily="34" charset="0"/>
                  <a:ea typeface="+mn-ea"/>
                  <a:cs typeface="Arial" panose="020B0604020202020204" pitchFamily="34" charset="0"/>
                </a:defRPr>
              </a:pPr>
              <a:endParaRPr lang="it-IT"/>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3"/>
          </a:solidFill>
          <a:ln>
            <a:noFill/>
          </a:ln>
          <a:effectLst/>
        </c:spPr>
        <c:marker>
          <c:symbol val="none"/>
        </c:marker>
        <c:dLbl>
          <c:idx val="0"/>
          <c:spPr>
            <a:noFill/>
            <a:ln>
              <a:noFill/>
            </a:ln>
            <a:effectLst/>
          </c:spPr>
          <c:txPr>
            <a:bodyPr rot="0" spcFirstLastPara="1" vertOverflow="ellipsis" vert="horz" wrap="square" anchor="ctr" anchorCtr="1"/>
            <a:lstStyle/>
            <a:p>
              <a:pPr>
                <a:defRPr sz="1050" b="1" i="0" u="none" strike="noStrike" kern="1200" baseline="0">
                  <a:solidFill>
                    <a:schemeClr val="accent3"/>
                  </a:solidFill>
                  <a:latin typeface="Arial" panose="020B0604020202020204" pitchFamily="34" charset="0"/>
                  <a:ea typeface="+mn-ea"/>
                  <a:cs typeface="Arial" panose="020B0604020202020204" pitchFamily="34" charset="0"/>
                </a:defRPr>
              </a:pPr>
              <a:endParaRPr lang="it-IT"/>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2"/>
          </a:solidFill>
          <a:ln>
            <a:noFill/>
          </a:ln>
          <a:effectLst/>
        </c:spPr>
        <c:marker>
          <c:symbol val="none"/>
        </c:marker>
        <c:dLbl>
          <c:idx val="0"/>
          <c:spPr>
            <a:noFill/>
            <a:ln>
              <a:noFill/>
            </a:ln>
            <a:effectLst/>
          </c:spPr>
          <c:txPr>
            <a:bodyPr rot="0" spcFirstLastPara="1" vertOverflow="ellipsis" vert="horz" wrap="square" anchor="ctr" anchorCtr="1"/>
            <a:lstStyle/>
            <a:p>
              <a:pPr>
                <a:defRPr sz="1050" b="1" i="0" u="none" strike="noStrike" kern="1200" baseline="0">
                  <a:solidFill>
                    <a:schemeClr val="accent2"/>
                  </a:solidFill>
                  <a:latin typeface="Arial" panose="020B0604020202020204" pitchFamily="34" charset="0"/>
                  <a:ea typeface="+mn-ea"/>
                  <a:cs typeface="Arial" panose="020B0604020202020204" pitchFamily="34" charset="0"/>
                </a:defRPr>
              </a:pPr>
              <a:endParaRPr lang="it-IT"/>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3"/>
        <c:spPr>
          <a:solidFill>
            <a:schemeClr val="accent6"/>
          </a:solidFill>
          <a:ln>
            <a:noFill/>
          </a:ln>
          <a:effectLst/>
        </c:spPr>
        <c:marker>
          <c:symbol val="none"/>
        </c:marker>
        <c:dLbl>
          <c:idx val="0"/>
          <c:spPr>
            <a:noFill/>
            <a:ln>
              <a:noFill/>
            </a:ln>
            <a:effectLst/>
          </c:spPr>
          <c:txPr>
            <a:bodyPr rot="0" spcFirstLastPara="1" vertOverflow="ellipsis" vert="horz" wrap="square" anchor="ctr" anchorCtr="1"/>
            <a:lstStyle/>
            <a:p>
              <a:pPr>
                <a:defRPr sz="1050" b="1" i="0" u="none" strike="noStrike" kern="1200" baseline="0">
                  <a:solidFill>
                    <a:schemeClr val="accent6"/>
                  </a:solidFill>
                  <a:latin typeface="Arial" panose="020B0604020202020204" pitchFamily="34" charset="0"/>
                  <a:ea typeface="+mn-ea"/>
                  <a:cs typeface="Arial" panose="020B0604020202020204" pitchFamily="34" charset="0"/>
                </a:defRPr>
              </a:pPr>
              <a:endParaRPr lang="it-IT"/>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tx2"/>
          </a:solidFill>
          <a:ln>
            <a:noFill/>
          </a:ln>
          <a:effectLst/>
        </c:spPr>
        <c:marker>
          <c:symbol val="none"/>
        </c:marker>
        <c:dLbl>
          <c:idx val="0"/>
          <c:spPr>
            <a:noFill/>
            <a:ln>
              <a:noFill/>
            </a:ln>
            <a:effectLst/>
          </c:spPr>
          <c:txPr>
            <a:bodyPr rot="0" spcFirstLastPara="1" vertOverflow="ellipsis" vert="horz" wrap="square" anchor="ctr" anchorCtr="1"/>
            <a:lstStyle/>
            <a:p>
              <a:pPr>
                <a:defRPr sz="1050" b="1" i="0" u="none" strike="noStrike" kern="1200" baseline="0">
                  <a:solidFill>
                    <a:schemeClr val="tx2"/>
                  </a:solidFill>
                  <a:latin typeface="Arial" panose="020B0604020202020204" pitchFamily="34" charset="0"/>
                  <a:ea typeface="+mn-ea"/>
                  <a:cs typeface="Arial" panose="020B0604020202020204" pitchFamily="34" charset="0"/>
                </a:defRPr>
              </a:pPr>
              <a:endParaRPr lang="it-IT"/>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4"/>
          </a:solidFill>
          <a:ln>
            <a:noFill/>
          </a:ln>
          <a:effectLst/>
        </c:spPr>
        <c:marker>
          <c:symbol val="none"/>
        </c:marker>
        <c:dLbl>
          <c:idx val="0"/>
          <c:spPr>
            <a:noFill/>
            <a:ln>
              <a:noFill/>
            </a:ln>
            <a:effectLst/>
          </c:spPr>
          <c:txPr>
            <a:bodyPr rot="0" spcFirstLastPara="1" vertOverflow="ellipsis" vert="horz" wrap="square" anchor="ctr" anchorCtr="1"/>
            <a:lstStyle/>
            <a:p>
              <a:pPr>
                <a:defRPr sz="1050" b="1" i="0" u="none" strike="noStrike" kern="1200" baseline="0">
                  <a:solidFill>
                    <a:schemeClr val="accent4"/>
                  </a:solidFill>
                  <a:latin typeface="Arial" panose="020B0604020202020204" pitchFamily="34" charset="0"/>
                  <a:ea typeface="+mn-ea"/>
                  <a:cs typeface="Arial" panose="020B0604020202020204" pitchFamily="34" charset="0"/>
                </a:defRPr>
              </a:pPr>
              <a:endParaRPr lang="it-IT"/>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Arial" panose="020B0604020202020204" pitchFamily="34" charset="0"/>
                  <a:ea typeface="+mn-ea"/>
                  <a:cs typeface="Arial" panose="020B0604020202020204" pitchFamily="34" charset="0"/>
                </a:defRPr>
              </a:pPr>
              <a:endParaRPr lang="it-IT"/>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solidFill>
                  <a:latin typeface="Arial" panose="020B0604020202020204" pitchFamily="34" charset="0"/>
                  <a:ea typeface="+mn-ea"/>
                  <a:cs typeface="Arial" panose="020B0604020202020204" pitchFamily="34" charset="0"/>
                </a:defRPr>
              </a:pPr>
              <a:endParaRPr lang="it-IT"/>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Arial" panose="020B0604020202020204" pitchFamily="34" charset="0"/>
                  <a:ea typeface="+mn-ea"/>
                  <a:cs typeface="Arial" panose="020B0604020202020204" pitchFamily="34" charset="0"/>
                </a:defRPr>
              </a:pPr>
              <a:endParaRPr lang="it-IT"/>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2"/>
                  </a:solidFill>
                  <a:latin typeface="Arial" panose="020B0604020202020204" pitchFamily="34" charset="0"/>
                  <a:ea typeface="+mn-ea"/>
                  <a:cs typeface="Arial" panose="020B0604020202020204" pitchFamily="34" charset="0"/>
                </a:defRPr>
              </a:pPr>
              <a:endParaRPr lang="it-IT"/>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'FS Input'!$M$27:$M$29</c:f>
              <c:strCache>
                <c:ptCount val="1"/>
                <c:pt idx="0">
                  <c:v>P&amp;L - Net Revenues</c:v>
                </c:pt>
              </c:strCache>
            </c:strRef>
          </c:tx>
          <c:spPr>
            <a:solidFill>
              <a:schemeClr val="tx2"/>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tx2"/>
                    </a:solidFill>
                    <a:latin typeface="Arial" panose="020B0604020202020204" pitchFamily="34" charset="0"/>
                    <a:ea typeface="+mn-ea"/>
                    <a:cs typeface="Arial" panose="020B0604020202020204" pitchFamily="34" charset="0"/>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'FS Input'!$L$30:$L$34</c:f>
              <c:strCache>
                <c:ptCount val="4"/>
                <c:pt idx="0">
                  <c:v>2015</c:v>
                </c:pt>
                <c:pt idx="1">
                  <c:v>2016</c:v>
                </c:pt>
                <c:pt idx="2">
                  <c:v>2017</c:v>
                </c:pt>
                <c:pt idx="3">
                  <c:v>2018</c:v>
                </c:pt>
              </c:strCache>
            </c:strRef>
          </c:cat>
          <c:val>
            <c:numRef>
              <c:f>'FS Input'!$M$30:$M$34</c:f>
              <c:numCache>
                <c:formatCode>General</c:formatCode>
                <c:ptCount val="4"/>
                <c:pt idx="0">
                  <c:v>12117</c:v>
                </c:pt>
                <c:pt idx="1">
                  <c:v>11266</c:v>
                </c:pt>
                <c:pt idx="2">
                  <c:v>8926</c:v>
                </c:pt>
                <c:pt idx="3">
                  <c:v>9313</c:v>
                </c:pt>
              </c:numCache>
            </c:numRef>
          </c:val>
          <c:extLst>
            <c:ext xmlns:c16="http://schemas.microsoft.com/office/drawing/2014/chart" uri="{C3380CC4-5D6E-409C-BE32-E72D297353CC}">
              <c16:uniqueId val="{00000000-84AE-4C76-843B-E95A08105A1E}"/>
            </c:ext>
          </c:extLst>
        </c:ser>
        <c:ser>
          <c:idx val="1"/>
          <c:order val="1"/>
          <c:tx>
            <c:strRef>
              <c:f>'FS Input'!$N$27:$N$29</c:f>
              <c:strCache>
                <c:ptCount val="1"/>
                <c:pt idx="0">
                  <c:v>P&amp;L - EBITDA</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accent6"/>
                    </a:solidFill>
                    <a:latin typeface="Arial" panose="020B0604020202020204" pitchFamily="34" charset="0"/>
                    <a:ea typeface="+mn-ea"/>
                    <a:cs typeface="Arial" panose="020B0604020202020204" pitchFamily="34" charset="0"/>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'FS Input'!$L$30:$L$34</c:f>
              <c:strCache>
                <c:ptCount val="4"/>
                <c:pt idx="0">
                  <c:v>2015</c:v>
                </c:pt>
                <c:pt idx="1">
                  <c:v>2016</c:v>
                </c:pt>
                <c:pt idx="2">
                  <c:v>2017</c:v>
                </c:pt>
                <c:pt idx="3">
                  <c:v>2018</c:v>
                </c:pt>
              </c:strCache>
            </c:strRef>
          </c:cat>
          <c:val>
            <c:numRef>
              <c:f>'FS Input'!$N$30:$N$34</c:f>
              <c:numCache>
                <c:formatCode>General</c:formatCode>
                <c:ptCount val="4"/>
                <c:pt idx="0">
                  <c:v>1261</c:v>
                </c:pt>
                <c:pt idx="1">
                  <c:v>653</c:v>
                </c:pt>
                <c:pt idx="2">
                  <c:v>803</c:v>
                </c:pt>
                <c:pt idx="3">
                  <c:v>793</c:v>
                </c:pt>
              </c:numCache>
            </c:numRef>
          </c:val>
          <c:extLst>
            <c:ext xmlns:c16="http://schemas.microsoft.com/office/drawing/2014/chart" uri="{C3380CC4-5D6E-409C-BE32-E72D297353CC}">
              <c16:uniqueId val="{00000002-C049-4FDD-B7AE-5F5669C12498}"/>
            </c:ext>
          </c:extLst>
        </c:ser>
        <c:ser>
          <c:idx val="2"/>
          <c:order val="2"/>
          <c:tx>
            <c:strRef>
              <c:f>'FS Input'!$O$27:$O$29</c:f>
              <c:strCache>
                <c:ptCount val="1"/>
                <c:pt idx="0">
                  <c:v>P&amp;L - EBIT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accent2"/>
                    </a:solidFill>
                    <a:latin typeface="Arial" panose="020B0604020202020204" pitchFamily="34" charset="0"/>
                    <a:ea typeface="+mn-ea"/>
                    <a:cs typeface="Arial" panose="020B0604020202020204" pitchFamily="34" charset="0"/>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'FS Input'!$L$30:$L$34</c:f>
              <c:strCache>
                <c:ptCount val="4"/>
                <c:pt idx="0">
                  <c:v>2015</c:v>
                </c:pt>
                <c:pt idx="1">
                  <c:v>2016</c:v>
                </c:pt>
                <c:pt idx="2">
                  <c:v>2017</c:v>
                </c:pt>
                <c:pt idx="3">
                  <c:v>2018</c:v>
                </c:pt>
              </c:strCache>
            </c:strRef>
          </c:cat>
          <c:val>
            <c:numRef>
              <c:f>'FS Input'!$O$30:$O$34</c:f>
              <c:numCache>
                <c:formatCode>General</c:formatCode>
                <c:ptCount val="4"/>
                <c:pt idx="0">
                  <c:v>-795</c:v>
                </c:pt>
                <c:pt idx="1">
                  <c:v>-260</c:v>
                </c:pt>
                <c:pt idx="2">
                  <c:v>42</c:v>
                </c:pt>
                <c:pt idx="3">
                  <c:v>199</c:v>
                </c:pt>
              </c:numCache>
            </c:numRef>
          </c:val>
          <c:extLst>
            <c:ext xmlns:c16="http://schemas.microsoft.com/office/drawing/2014/chart" uri="{C3380CC4-5D6E-409C-BE32-E72D297353CC}">
              <c16:uniqueId val="{00000003-C049-4FDD-B7AE-5F5669C12498}"/>
            </c:ext>
          </c:extLst>
        </c:ser>
        <c:ser>
          <c:idx val="3"/>
          <c:order val="3"/>
          <c:tx>
            <c:strRef>
              <c:f>'FS Input'!$P$27:$P$29</c:f>
              <c:strCache>
                <c:ptCount val="1"/>
                <c:pt idx="0">
                  <c:v>P&amp;L - Profit Before Taxes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accent3"/>
                    </a:solidFill>
                    <a:latin typeface="Arial" panose="020B0604020202020204" pitchFamily="34" charset="0"/>
                    <a:ea typeface="+mn-ea"/>
                    <a:cs typeface="Arial" panose="020B0604020202020204" pitchFamily="34" charset="0"/>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'FS Input'!$L$30:$L$34</c:f>
              <c:strCache>
                <c:ptCount val="4"/>
                <c:pt idx="0">
                  <c:v>2015</c:v>
                </c:pt>
                <c:pt idx="1">
                  <c:v>2016</c:v>
                </c:pt>
                <c:pt idx="2">
                  <c:v>2017</c:v>
                </c:pt>
                <c:pt idx="3">
                  <c:v>2018</c:v>
                </c:pt>
              </c:strCache>
            </c:strRef>
          </c:cat>
          <c:val>
            <c:numRef>
              <c:f>'FS Input'!$P$30:$P$34</c:f>
              <c:numCache>
                <c:formatCode>General</c:formatCode>
                <c:ptCount val="4"/>
                <c:pt idx="0">
                  <c:v>-862</c:v>
                </c:pt>
                <c:pt idx="1">
                  <c:v>-347</c:v>
                </c:pt>
                <c:pt idx="2">
                  <c:v>-41</c:v>
                </c:pt>
                <c:pt idx="3">
                  <c:v>184</c:v>
                </c:pt>
              </c:numCache>
            </c:numRef>
          </c:val>
          <c:extLst>
            <c:ext xmlns:c16="http://schemas.microsoft.com/office/drawing/2014/chart" uri="{C3380CC4-5D6E-409C-BE32-E72D297353CC}">
              <c16:uniqueId val="{00000004-C049-4FDD-B7AE-5F5669C12498}"/>
            </c:ext>
          </c:extLst>
        </c:ser>
        <c:ser>
          <c:idx val="4"/>
          <c:order val="4"/>
          <c:tx>
            <c:strRef>
              <c:f>'FS Input'!$Q$27:$Q$29</c:f>
              <c:strCache>
                <c:ptCount val="1"/>
                <c:pt idx="0">
                  <c:v>P&amp;L - Profit (Group Interest)</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accent4"/>
                    </a:solidFill>
                    <a:latin typeface="Arial" panose="020B0604020202020204" pitchFamily="34" charset="0"/>
                    <a:ea typeface="+mn-ea"/>
                    <a:cs typeface="Arial" panose="020B0604020202020204" pitchFamily="34" charset="0"/>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'FS Input'!$L$30:$L$34</c:f>
              <c:strCache>
                <c:ptCount val="4"/>
                <c:pt idx="0">
                  <c:v>2015</c:v>
                </c:pt>
                <c:pt idx="1">
                  <c:v>2016</c:v>
                </c:pt>
                <c:pt idx="2">
                  <c:v>2017</c:v>
                </c:pt>
                <c:pt idx="3">
                  <c:v>2018</c:v>
                </c:pt>
              </c:strCache>
            </c:strRef>
          </c:cat>
          <c:val>
            <c:numRef>
              <c:f>'FS Input'!$Q$30:$Q$34</c:f>
              <c:numCache>
                <c:formatCode>General</c:formatCode>
                <c:ptCount val="4"/>
                <c:pt idx="0">
                  <c:v>-980</c:v>
                </c:pt>
                <c:pt idx="1">
                  <c:v>-389</c:v>
                </c:pt>
                <c:pt idx="2">
                  <c:v>-176</c:v>
                </c:pt>
                <c:pt idx="3">
                  <c:v>54</c:v>
                </c:pt>
              </c:numCache>
            </c:numRef>
          </c:val>
          <c:extLst>
            <c:ext xmlns:c16="http://schemas.microsoft.com/office/drawing/2014/chart" uri="{C3380CC4-5D6E-409C-BE32-E72D297353CC}">
              <c16:uniqueId val="{00000005-C049-4FDD-B7AE-5F5669C12498}"/>
            </c:ext>
          </c:extLst>
        </c:ser>
        <c:dLbls>
          <c:dLblPos val="outEnd"/>
          <c:showLegendKey val="0"/>
          <c:showVal val="1"/>
          <c:showCatName val="0"/>
          <c:showSerName val="0"/>
          <c:showPercent val="0"/>
          <c:showBubbleSize val="0"/>
        </c:dLbls>
        <c:gapWidth val="70"/>
        <c:axId val="470767896"/>
        <c:axId val="470766912"/>
      </c:barChart>
      <c:valAx>
        <c:axId val="470766912"/>
        <c:scaling>
          <c:orientation val="minMax"/>
        </c:scaling>
        <c:delete val="1"/>
        <c:axPos val="r"/>
        <c:numFmt formatCode="General" sourceLinked="1"/>
        <c:majorTickMark val="out"/>
        <c:minorTickMark val="none"/>
        <c:tickLblPos val="nextTo"/>
        <c:crossAx val="470767896"/>
        <c:crosses val="max"/>
        <c:crossBetween val="between"/>
      </c:valAx>
      <c:catAx>
        <c:axId val="470767896"/>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crossAx val="470766912"/>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 dir="row">_xlchart.v1.4</cx:f>
      </cx:strDim>
      <cx:numDim type="val">
        <cx:f dir="row">_xlchart.v1.5</cx:f>
      </cx:numDim>
    </cx:data>
  </cx:chartData>
  <cx:chart>
    <cx:plotArea>
      <cx:plotAreaRegion>
        <cx:series layoutId="waterfall" uniqueId="{77C5B1E0-D843-4073-8955-3C802ED6CE21}">
          <cx:dataPt idx="0">
            <cx:spPr>
              <a:solidFill>
                <a:srgbClr val="001A70"/>
              </a:solidFill>
            </cx:spPr>
          </cx:dataPt>
          <cx:dataPt idx="1">
            <cx:spPr>
              <a:solidFill>
                <a:srgbClr val="C4D600"/>
              </a:solidFill>
            </cx:spPr>
          </cx:dataPt>
          <cx:dataPt idx="5">
            <cx:spPr>
              <a:solidFill>
                <a:srgbClr val="FE5815"/>
              </a:solidFill>
            </cx:spPr>
          </cx:dataPt>
          <cx:dataPt idx="7">
            <cx:spPr>
              <a:solidFill>
                <a:srgbClr val="001A70"/>
              </a:solidFill>
            </cx:spPr>
          </cx:dataPt>
          <cx:dataId val="0"/>
          <cx:layoutPr>
            <cx:subtotals/>
          </cx:layoutPr>
        </cx:series>
      </cx:plotAreaRegion>
      <cx:axis id="0" hidden="1">
        <cx:catScaling gapWidth="0.439999998"/>
        <cx:tickLabels/>
      </cx:axis>
      <cx:axis id="1" hidden="1">
        <cx:valScaling/>
        <cx:tickLabels/>
      </cx:axis>
    </cx:plotArea>
  </cx:chart>
  <cx:spPr>
    <a:noFill/>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 dir="row">_xlchart.v5.2</cx:f>
        <cx:nf dir="row">_xlchart.v5.0</cx:nf>
      </cx:strDim>
      <cx:numDim type="colorVal">
        <cx:f dir="row">_xlchart.v5.3</cx:f>
        <cx:nf dir="row">_xlchart.v5.1</cx:nf>
      </cx:numDim>
    </cx:data>
  </cx:chartData>
  <cx:chart>
    <cx:plotArea>
      <cx:plotAreaRegion>
        <cx:plotSurface>
          <cx:spPr>
            <a:ln>
              <a:noFill/>
            </a:ln>
          </cx:spPr>
        </cx:plotSurface>
        <cx:series layoutId="regionMap" uniqueId="{AB0E1F62-3A29-4ADA-8D32-A39F4838F4D1}" formatIdx="0">
          <cx:tx>
            <cx:txData>
              <cx:f>_xlchart.v5.1</cx:f>
              <cx:v>All Technologies</cx:v>
            </cx:txData>
          </cx:tx>
          <cx:spPr>
            <a:solidFill>
              <a:schemeClr val="bg1">
                <a:lumMod val="95000"/>
              </a:schemeClr>
            </a:solidFill>
            <a:ln w="9525">
              <a:solidFill>
                <a:schemeClr val="bg2"/>
              </a:solidFill>
            </a:ln>
          </cx:spPr>
          <cx:dataId val="0"/>
          <cx:layoutPr>
            <cx:regionLabelLayout val="none"/>
            <cx:geography viewedRegionType="countryRegion" cultureLanguage="it-IT" cultureRegion="IT" attribution="Con tecnologia Bing">
              <cx:geoCache provider="{E9337A44-BEBE-4D9F-B70C-5C5E7DAFC167}">
                <cx:binary>1HxZk9y20uVfUfhlXoZtrATwxXcn4pK1V/XeWtovjFarDW4gSIIrfv1klWxfqSxLmhhNxCgcUaou
FoogDjPznJOg//t5+q/n8uWpfTWZsnL/9Tz965e06+r/+vVX95y+mCd3YbLn1jr7e3fxbM2v9vff
s+eXXz+0T2NW6V8JwuzX5/Sp7V6mX/7Xf8Ov6Rd7sM9PXWar2/6lne9eXF927ivHvnjo1dMHk1WL
zHVt9tzhf/1yacvMvfzy6qXqsm5+mOuXf/3y2Xd+efXr+S/97ayvSphY13+AsQxfhJJRLDkjTCIW
ql9elbbSfxzG7IIrjpUMKSYyDAn+89RXTwaGf3s6p8k8ffjQvjgHV3P69z/jPpv66eOLX149277q
jkumYfX+9cu2eyqzp19eZc7GH4/E9jj17cPpWn/9fLX/13+ffQBXf/bJJ4CcL9W3Dv0Nj/jJ1E/V
cXo/DBF0IUNEBGacSi4YIeeISEY4VUIKogCzP8/8EZDvmc+XIfnPyDNQjgd+MlT+/b7tvbd/Ls0P
CBNyQYjgXGLKj8FAYNk/DRN6ITlHnCgmlIIwEn+e+iMq3zGfL4Py18AzTODznwySw5PPfiQg+ALW
mXMSCkqpkox9Dgi5ECEkNiaYYhzBu88B+eZsvgzHH8POwIBPfzIwoieXlRmUpx+bt5hSKuRhKARh
ITqrJOEFkvgYJEpiBrntrJJ835S+DMunY8+wgUM/GTYHa94/tR9+aEnhFyFBjGFGQxEKLj7PXgpi
RSqFmUCUhvDvGTTfNaMvI/PJ0DNgjkd+MmTip/LpffsjgaHqAoUCigaVIlQQE/TzLBZeUCZCRqSC
8qL4WVX5nvl8GZb/jDxDBQ78ZKAsDWSyp1d31jzp6kemM2C+hCukGKGSSEz459DgC0QVZUgBC0Pw
9ixmvn9aX0bofPwZTktzAVf8k0G1arO+zF69ealePEC2Pv71IxELLzCnDCso+SGEDAo/R4xeIA4p
EDgcUfII6eeU4OPsgu+f3ZeB+4efOcNv1V68uVj/ZPjdZC/GVt2PVJ8c8h+CvBdikJZI0c8Lk7hQ
hCKAknFFiOQYEP0osz7S6u+Z0JdR+s/IM2COB342WHr9Y+MIAbUGUk05FCUWsiN3/lTrhEcyoZgU
CnNIfMcw+wyUb07nHyD5Y9w5IPDxTwbIffZ8rEl/Lsv/vfqkAlwYwIQxRjCVofibJYAZCRXhIVdY
qKOH8yki3zGfL0Py18AzTODznwySB+uen34oPaAXkJT4R76Mwr+zAzAKBPg4AAl4axzIw6eIfMd0
vozIXwPPEDl+/rNB0h5XpLKv/l128PIh0z+ysIQXn8qdL7A3IgmWEDSUneToGT5/zC34vrn9A1Zf
+pFz3NqLf8N/P5fn+dr8WBXEyMXRNiBchERRKPZnKohcMJCniiKINwVq6Sy9fXs6X8bnz3FnkBw/
/skAefNUli+vPvyPf1v3Qx0dfiGAfnGOIU6ApJ0lOXEBqhUrgTBYbQpMnzN5+t2z+jI8Z8PPUHpz
8eGni5ujtOh+pAcKtg6T4EuDZxMeqRgomk+JGj6a0phjwIeBUUrP8fnmdP4BmD/GnSPyUv1/Hjb/
0Ff6WJg/srTPvvJ/2kqj4BgoBOKShRhctHP9SS6OIkdSEWKuwJz+vOT82eX659l8GY0/x3028//X
TbN/bqj91WtcgLm8PDUpP+mpff3o6QKhcXo29A/m9EWAPq7W9sO/fsEYFvSv1ufxJz5jXH8u09mA
lyfXwVh5cewRgCsgEUJMSihA48vxCGgdfCw+IYX8B74CBi1U2bZLoXMqLqAgESQI2KqcnzqnzvbH
Q5RDxQJlpEIEBAM6RuyvpvCNLWdtq78W4o+/X1W9ubFZ1bnjbH55VX/82vHCIL/C2SGCwcBF0GIS
R3u2fn66g8bz8dv/03LT+E5JEnlLVVTwx5nYJCr0OEVI+zAaKnNoBX1gaCUqYePauDIqw3AtevZW
ojEm/XjfMr/2o35xTZ7Gn6zkd0yQIHlsREIqQoocFSMs0qcTzEcNcZHROZLhUEc5I/lGVLLe5AiX
O3hDYksCyaJglsshcbvU5s+uKvv7rDHz1mZFsxJJqhcmmdnOMJ/EGn5ka2v3+9dnemQSny4lTBAJ
sBKAlFMB2B2D8NOZluiIIG985NVUP1otHn06T5c2dG6dtn2/zXV7O9eBX9hOhm99gvjezaaJ2SjL
ldSWbHCKsqXv2RZgqW55WW7Y6Mul7ev5t1aPG1I/Jm4ityLk7q6j9YOuKd/jXg55nBuXrTs1v29o
FqVln2xdk5JwnaSwCYAGrr+W7h006cOHqcm7lUDFpWCz3Cd9GKwaqk26MG0bExHwZVaRaYGG0u7c
JH4POtnf8HIwbVTJ0EYB8+N9kPd11JR+1SWqve36vF9+fT2Pt//5eoIuhSoEkQNWzTnyPiA17sZ2
juo6uB77XEZFUc8LZYNpVUiRR1mitnmTbLu5woes5Q9zWuWbHOMyTvJwvhWyf/eNOf0dY0wpdDJk
yBA9hs7nGDdFi4esmn1EGzbdjG0wHSrv39ST767GDgWX1bTQpQ/vhqL+3TeFiNtymH8zFr21PUbR
16dz7AyfLRGD3KQERwg2USAGUvDTW66tMtcPJnfR1KF6Kbo0vTRhPq5G3JgIdfaxm5i/oZ1BQ5SN
YRDVzHTrbKrYdkqa+pHIAe9pkeOdKfjWcvQox1G9Y7l10dDb56Rm4b6bEI6lNuXC+JxEmBTpth+Y
XWIzi2isXbmvaJGtvn5tx/bE2bVBQxz2IUBQCUhA4mypq6YlRTOhPnJN/YbJlixqPPfRkOr31qN4
otOwqUw/v5bJExuDYj8SQVYV7URsLG8XX58O8Jm/zYYhIY+GPYF0dJaG1JyE1joM51emSqJ0wEsC
MXozF8jcMJzfqEmz7dfPeZ6cCSYCSoCA3TEQAQqA/hzeefB5DsnGRsJWrwNeQDKhjY6rgUEodnPv
AUXWbdMsS6IhqYb73rdqZQjNVln5jpfaHEog2bcNw+8ITpNtin0eGehofyNLk+NMPikjx5kSCAgC
ihe6SqCkPp9pNeOsAnvcRjOnb3WR4aiZML3EeHh0Fc7SCNWBWzdjTV8zWywmrZK7cOySXd73jwHK
fVw5Nu57T97KpIDv87Lwy0JCRDlDd3092Ctk2js59BOkeLdrO1VcT/X0Rk3IXXGji2jusH07s2b6
RpSFxx0Wn18dxBYHZ4xxKJPHov351WUjyaaCdnVUtoXaBkSsx462N7AnK9h3WTJGzSweEkOqexdY
fZBBoheoql/QbMjt8dhUZ/ZeVyTYW2HThaZZsBzTOl+6tmtuUDIv+oam94UNX/qZ5AcxeLFIceJX
ph12QTbI2563cqkC+y5RttoEYf7bmIzuYZBi7Ytpn5Roeq0Qrlb5oZ2kWxoxqw3rqywKiddxohDf
NUJU9yahV8lcio1LiF1RMkLd5EWxSVHzeKpcRainhSkuA5PAPjSt4fJYgbdDX9EHwy+x0vR1Obp4
QDS9tKZH0SnHtYmYosobHzk8FpvajcNOhiNUptr2kSJpvW2mlt+7WT7IoFKrEoU6Uo2ibxFqlkMh
sqhubHcHWdNf50m9nYDzbmqbqwVkAntV98heCTIfWFFCxhsGtPKzE0udT+0m5xOJ3JjqS131XTy3
o4oQnHxLGE2iLrvuoXJvg1Hqy5rcKdzRyx5BQszqol7ZtswXNU3YFrappcs+ZPnVMGTtUmbIrobj
zTcdX7gfYyUL99ARMUQ+CdFh1iZ0K8yCete1AdmwgM2x75JxX8/kXRDSZE9MGuxVFaJVw5IyIrxV
16eXxk9qGSRAaKamShe5mhZTXaEXIGW7in/Qhf7Nks7eGoXk3oRJGzVFM3ZRQkQ8NLJ6Q9r+2vUa
bSWBDEA4oZdpkiAItm5RdOzFDrR57KXO48p3+mAREChkg72uSw94wzs7u7ioenvb5Y9uVObBkbFf
fkwwHJs0Vplob6tZNBtuHY9GThaZbPA7LdMpCqvW33asYwB5k8VFXZFdlym6FQMZV6KbmziYyw9t
xdpbWceqrsr1eLzRS8vMtQraTZLQLfHN8MgYsBaquiDSyDX7vB/qQ5PN72tLww+mapZlEVyeAkFy
qe+c3qTWFnuHSr+e4BbucC0X6ESEmMjEdaAFX5Fg5Bs74Ne55mZBJl3FNpRmyXO0SnVy4wHCIoJ0
Ne4Km/B9MQKrkJ2FuFR11DUoW4eVJAeBWLeqWFVsSSvbjZKJj4GsQlY7crjT0EZQcRvIhG6wTsNt
k4twH4T1m0wN+aGvebiyTRKuLfLvdNr6XRt0w3oq4fbNUKZ3vuH9kirN4WvisUYz34dAUvVYHMzx
ZU5psZraPDzopFq7jvH707lRF4YHQ4YG7uEuWwelG6PMhm3U09mvkmJ6wZLVj4XUYeyp6GInq/Y1
1JQuRtyFy9OoCrd8n1Mb7kbVvWREjotEB3aZjbldWBugSNou2ZwYAyWkipwX7H7wJjJ49GvGw+LS
i2mOW+LrFQttFmOTQUbBjsRDm+462puHYqDmfsquNdMqosXA96cr0H1/r1y/ais5XppgyKIsROKm
L7I88jxJ31RJVkS5xdOSkv459yKN3NC6dQFl5bJu/L6veHvwpKrinhUq1rqU24TNblnjQkZBektF
na1tZd5ry9lbVc+Pjc62zLXzTe/y4uCDelgMaRulTqXLxvpxJ1N/pRJUXnlboVWedPkiy1B+pzvg
nr2yGxeMfkPNlOxVp/pN8qzLKdzWWS2ufWh2Sd2gfZkHv+XDMMYTFtViGPPpuphFthoRXSTTJFdC
j+nBoYRG48QrUF14fDy9cyYd3/B5eIezbYmEv2w6WV2xOU3ij+VRVi7cdNrhZSqqbBV6MzwIreqY
0uJ1jbLhDqLvUfB5XjWk42uaYb3KBWlW0MO2G8TTMKrtkOzb44vAdl60GarjhIdmNcAG2ogIKEx0
ep9xNq11HbD7dEqWbGBqC2HD91mD+Z7WtIq6U4Ev9K7zJtiBNKrWc8WbZVD2RVznk7qkWVpGbqqy
Ne7qNSnqcYuy4vfG+Hqn87mLcIazK2QTtyh0d1cEwxsExGir85HsdGEgv8hJ37GG62jsafsmEcX7
xEEq71ofW15Xq4FW9TbtxypK6ja9x4FYomnaucIOD+HkwhXftZ7zvTIJXqWMzr9lwfXUj1eJ7W9a
ZyDIiUvXgqEpGqif9paka3bSPGmA3eGkuFSo+yjTKC4yMd64ki1xjt0VQdm40EMhN0MnN6rti8fC
BFdjCAU4p9U1As2wrgN6xdHQ3qZQURdiFnbVl7M6ML6fEU6WtVf1QiWDXKl65PtknEwcYjotlFHz
Kt9BQPQ3Ga/mGw/EaSWR3eSyUusQy2zR8Crd1ZkrV51Mdlp09K4GnbQoNR6Wc27HdS/LuO/qTSqm
mBdDcTi9jJRPcdUlLLJpma49MdOGqjo9YFoXscjt3sspvyxRWUS8yNTS8Ha83FV56g718YUjUcRS
TNMKj9Ldca3EynabLF+ZoE0XLhnoa5PXcmNocp3nHTA71eB1wcwUD73SrwsTezXqq7yaI7gN1fWY
u+EaJihWrqv9PU6z6zYYNoPVEbZEvR+BPMXyuERuCukyFL44pI0qDm2RRZqmft9oU9zxni0zhtJ7
PgZV5BtltzYP+9iMQbeqpbkced2D3+HHB9kkdWTaslzluA4W2UzbA0rDfFsgsp34DH81sj20mj+n
VWuuOhxEnvbs3o1WL+pxbm99oF83lXBxrQy+qzsxLguDi40Jq2KRVD1zq1m0OCqbCVge76KcFnZP
jj8LW+pwnPddtx4nF+wchxG1SRq4vIzEDrJsPKVJvy9yad9CQK9C25u7JEMPqunMdZvUOLLUHbNN
rm9NRuE+yOlrWYx4WdZ30xQWtx6J+16nZnFSA0PZ85hoDWR9rMeb0cEpgMX4RV/3+bKfGv/GYLLO
M1CK1zgZ/IdBApuyYgfcBgivnn1sqrpa2OOl00rfzUfDY2AllAGZAP1pwiuZq+o68cMDTodsmeap
3kAb2t0Qeq1tuQrAZroKQwf1js9mWSddtvBDEmNwTA64ScYVqN0k6uFRgzvvkgDib8zWOfPvZN58
kCKoVqRVcDcNtsvXQ9gy0KB+MTSlW7YFhC4eQvLal5NbdiZ7PU39OzqpOzlW1YM7ViOXpmDDRNKp
+a5Fqd5nmRwjgkoTcZaQba8Brq/LOYLOZUQICgn2b8NWFAE7WTF02j9V6yoE/4LiCiR0lu2Ql2Rt
+qm7A5WXLspg+o26qdmngdw1TZovBumKJRBGd3160aVYdpzpW9e3708LnmaE7po65Fsytuu89N8w
O/6m6UJ4QIAiARYhbE8n534WGRtUJnIkIOXKOS6Z0pfEZ8nGGeEubZZcsSEcrgpZ66Vl83Tz9dXC
fzu9Aicb3D+uYAsPPJBwJillLVJFRNJFRd3JeKyzdJUpPcQZ7tu4RqjdsLQpQRpLvc8z5a5Ev2rk
OrX1iiirDoPAftPL0EXgwJBFOqcgIUVrr5I8k+uvT5b+DVroUYGDixXsa8HwgMXZZHVi2NDlto0y
bICcF+EU5cBfJjvswbMf9j4t7hqS0EXW6eH1VKio9IS+PbKcQwFPzMRiMHN0IpGQMtOFH5mLiCmm
reqYWsuAy5i5cd6N9fBhzJy5N86BnhmSbJU6xB9boaBItgFwGB+sZKrYt+y4v1+iAvHLFGLgTEOv
4cwpHoMpn0whfXRilH6CShnPARhLUo122cPmrpge79ZAuGbJqkDFHCX5/usL/TdTECvo4cKNARu2
JBNYHF2jT/zqtNcgJpjwUdpiHPVBPnQRatMoG3J528oSjJFTcci9IlEAzvYioW2z45OLUxk2H/xM
SkgaWfWNO+BvdtVxYvAME7TDKGynga00n0/Mq5kEFWTRqAWn7NAZfLCkr6706BqgpNm9xeVzD7sH
l0GVFYuyzdm274ohMoLpSySo/cZKgYl/lm4Igp3yWHDJoLuN2LFF9+lS6dRWoUswZLXcycja9UeP
QcVk7uoFn5Jx1+DerTVz6LGT9TPsRx3uXW/6baXKajUXkbEaDDhU57uOlOUuSF3vI8X7jZ+CxcjL
6rbKR3ypmiEuS963kStJBO6cepNW5a7orY904PxNmNiXzIXFrpnkvWtad90Zba5PFnj426Ane5Vb
NUfFiSHwgG0a2XGQ7Ti8ytMi35wi4yS05BA4kKEQHl6n7z+aSx85cSZxts6yoL0VnXqEtb0rO7Bl
LU5G0Jp7WXVwKVnGHopQXZ+chtZ35S2R79Dyo7vtq7SL6qDGD3pE87LsRiCqR4k3Yf6+neYhoryj
r7OquLG1d9ukUuiQyKGMsmaFsGNX5PhiCajqP7TokNItkDYeCVAay3rqwMBupzGPWyfcos/CJKpD
MT2z6ncHquxlHIY8QpUyIIZNtre66K4HCekkVGhb+t5u55ybt7DoDPRXVqDu7nQpKFCbQSZkFxLI
F5iDpshSzhcZ5fVedqq+o0Pye5m4bpXyxG6rwJbRqFBzh0oENv/AQyg2Il2VDCcrM+WPDciil47i
GBViSqPZsJjlxC4nOZrLVrV3YdnMT2zOQbhkvXqbTF0Z69ZMD6Nq3QJPVXc7mwWdQBNTsO+XVLfz
Oz3nQ0QmXKyQD9O4P95D86SBuh05OZbVw2zA+qC+2aQFArcI4psA8QfG0LfL8kiCejGK2IrxQGfV
XTIn97RMm73Qd70JphvRldOBpKiDHo9qD13XswWE3BRTbGN1JABFIcwDNII+3jYiQCvcVvT10Qc/
NGFZRyicFjJP1W+FzYCR4WdV4xrClaHDZEcTeUPHXZtNDFoTodgykkVV4iGMw3ncsja/qrhrbzMw
e1o1iJjOnC0aYeFWSelKkQ5DkIChHbOmfW6QJK+Hyuurv/7qDNORz10dB7B15cbNAwjEYRJvpOsh
MIiMshnnm9NJUEBQlI+2gxt1vi0cGpdjaV/CgIq4SDK95xO9Oyn3EUTvLmUeKCfYxIva98GqRSVb
MWafFPHwpCjOg3VCh2lZpGjcpo2Xke+5v24N1ouPydVbmS3hWY+3BWXVfpbpdhgDfTDAfKI2HUsI
QGyO8Ynjknu+HKpkeMvr8WoqWHuT5FUejzn5YKDvd5+WoJzrjukl6IZ12ZX83gwJVC+FPzQ5fwDh
z650Di/IZm9DzacDN3An4hndJcHgtgPuoWuFW73Mgjo7+KK8HI63QDsWaiVUCwQAh+mDpJ3bi6qb
6wiDyttnSRjbpPC7ifXo4Jl4/ONOaER/5eGJ1dimwCSyrIsqUsh9fcQ2SaOW1vxg1dhvUYAuu1ya
G6g6BnoAI41x3kPwaK/XOfEu7lHZ3aXaDXEQIr3wbLydem0vTy+ubeylBrkMrcKSbFFosvuwio0J
h/tpzgUI1HyK8ZGsBAYcXOpqvq56/bvpxXQJLUSyxXLFQXzGJ2UuPbRfTmU57CBNjJNch0MwrFCQ
u9Vp9sajh7yxZnP6q5JXRaLi/Fgzk2GbtzJZMyKmN5Iku9ozsjilWj8mbgkdL7314NPtBjGWKx+C
9yrDq5JOM3BVhFctb93uJI+NAKe1ly7+mK3TmUSsos1N2pkw6h1Zn07upAzWCtCOGkr9gSKz9jbf
Z0d+1qTyFvGc7eC5lRGCp8s39dwswwAakKhgHtJWwqOKtpcSZW3cdaZZT9BcW6g5nNfQsFgizYor
5gYId82fuO/I67xLzNXsxZMXIt23iJYReOzikkCMXFIchCuCcvhsbpJ9mfhkz9seL/Opp4syqe02
ZW216XjhYgoeyYI4XR/SgrtFV/XzpiwnvmhRkK4Cl80LuK/zu8oKkCEnMnJi6kc3JytpcJN31K+h
vVQ/1gJymm/7MFLTVO1lqtcFnyASmm52UQecGvoD9B5hukuA564bwasdw3Q/93b+rWLg1cxTvwny
CS0Dm9ZRMBRPCPzt5eSqYF3WxRs+JmQpC0UXlciLdaPDclFBV3UPlvv1iSSlY443GWnIxo0uYsT7
AxtZsWZQY1e6ruUt7es80s34TEGt31qNu2UbgtBmZUnjRCboloAFuBpK0xxUmZfxSWFSg4qFguZn
OcvyOZjbMuZ20puTs+Fo2i/UsXKqun9HwtFHgtftosvp8HZA73QzXU0udToazHtZpPNLOT3Mw/BQ
mal7CnJ/1VcfqhpagKip2mVwShK0gQY4yyr32M0zkBHsqptWuDWvwiLmNYJGmJ/CmBKq3oU9vZs3
eTMld6Q2dVzrjPjN3ITXp1n1cN17nBdRqsti1eqgPQC5tfuc1HDJI3oWrJQ7R0e1dyDcrCPgxvRD
vx8ypPdiqGOQ62Lpwlbfzx03MdQA/1jl+kGnEW4qc8tmOqyh5zDEUiVyIWQqlmrY9DzL3pt53CCI
ldsZCjGUido1q/JYx0g5dGvTjH2UD49JwbO3iLrtjKARWY0Y7wOmxWYERRUXHKeRydmww5ZpWKXx
yUMqBGMVp2tScVTGHroybp7B4sbu9tTQYVW6LWW2a9wwbNBoizmisM0j7loLdEI10BAa2e/lUFx2
xEOdh3bjytSJxhGZfDyWoz2ExNgrF+ZmmxGk+y2Eg9mdJEGbMvAPgAmvYA9BuMh0EMYnKaaRjee0
h+YmkNUoxVN6PZeyva46tgeE1+Po7dvM6vQwQmBGTpM0ouFc3PWJejuVxfA4myKNGZjCD0SMTUzt
9Joj8MdYo9J7WyfNbROug+B3jVEJVRoIKTRLxYLVtN95ZMcN7rJ6cbJM8vKNCKsgGmZRP5a1I5Gp
cLXrnBR0aYwFl21Ob6qkgCZQa30cQL7bDqZPNxXejyWZwMmC1pix0xSJvuSr4phM+uPUetWBUVe+
DSZW7no+Tpdppi9bEdgHwt0uGMbm0YABfeq/YTrrRehDeylwI2OthnFbpTkkl0Joui4aMD8YKh49
kIYVsLQs6lpRrPMjq6l7uLNQ3xy+LrtAWZ3LP1AToCTg/xgA2zGlgOecPlcThJmiZbhD0ZBZoK+c
sOmoUoFgFY5tg5PHNcCT8+sAz/M+xDwO5Uy3kMnm/aWbeP8+AFP8je/9FI1irOLWGHY1phM6jOId
ylkQz87opw5Vy/9N1Jk1x6mDW/sXUcUkAbcMPbrb7SGxkxuVM2wkQAIJMYhff1Z3zvedmy63syvb
buAd1nqWwuMiWIPtaZ3NrEs1pHlSU7qrnbTnVPriCGk8zU1Kbfl424Xz//4BduQAk7j9PumtxgIS
yCPlLHyKJ+3tbCbj50RiFBU2bOE6SJ33Y/c+rEl6WDRX74vOmoPPC8+Pkjy694fg/gJZ11VrkrRV
RuFQYefRV9dn8y2UQ58vMRveqOQ/RTL9ZaS9ox6YUOMu0i+R4/6d79ltnu0v//ciZAPKyvl6P98l
rijblp2dMs8eM3Ac6hhPLvmdLUFTrG7aRa1tjwzreTEmafxNT22etJ3b17NKisdWR7w0O/hua/N2
E8GaB+s5EqY9PlQbhd9I1KjfW7bNB0bHtBiSKXjvgzTde8zdAt5HaCC4CbPFDwszQ0VTVH7JdmTX
x4sX8fEivCVffCNyv4N29X8fD1ysr1Qv5vCoAETzJ43x/Chdk7dz5n6StKFHeQcRaO2KiPcVscP4
nvF2vcVN4f0mxjd5ErL+pZ/Jeg5Vk+XeNNQof7E8PKQ8uFJQ+teLlEacBxv9dcO03RxvfrcLWtQU
h91zkq38ny0EPfwKp+++eK/fe9nzoib6n0awrT698mZ66WW6Vks2yBJPmXliiTGnxKwHEj3NXez9
HOckrpKuZWXsli5n2r4nTZJ9V0R8kjUdjn4PcxiWJnTUbJbYstla0EZ/TGZNLnxJcN/IrM19SFtH
T4rt0GQjPKqH//mnzqj6p+7JdnI7nzu/HINGFxya7GW8e+n95Ood7/34LWuGECpH1l7Tyd8/nDJs
1CWNPV6wycHF5374TZE+LLaGTUdYCb/W1bYnHi7j8+ajdGZq2/exN1bNPLUvUN83B33Xm0P3MZhp
nzW9rgI9r9jDdaECSX7PKJE5yf53NnaZP/1bqPgSRyWYRR/dqUvEc3P/f4hu9k4oiJcoo38z2i0f
PhVH1bfHf15yu2zL25DSz02sgLl48F9nIv+J1gY8hS8Pnp9lSa78xN/bNVvObe17B3P/CiaXd9hG
wQrounVR+zI9z47PO9Ts9pqZ9DAFuq1CbxvPPpndjniWvGGaHYq1dSiavSEvTqzRB7HmW2eFQ3sL
yJ547K31mPfhr+wzab23jMvtpyHReRWt+MaWNjgJgQ3atP5Bw2p572OsuhumjGc2+urmOVJmo/m2
AZ3668PenpWj6PBwNDwr0r8B9YpwYJewp+K2rmP27pkyS2Tpb2bcqsXW027xGvg2kOxg2jb8dWr8
9EAaFZduy46AQKFTg9irPFKTKjQuyxFxCE406/pDm8ZLsaQswE3nbBlBQCwjlold284Uyr9Md2Oj
VQVeEJJdp5O8m+YIANHhQWHIOcLMqLz6EMcjPfU2oXsSixmPIbp4Z3ad+tVJUuE6uM9WjkD/6PK9
ae90qFlWP8dIeZtSQauHnD4lOjhsEkYSG+4PW+tu2UbWG2QJu88ydvZE8zWsxr5SX41PmyKvpu2m
/dhOST75XopNcwun3b9mO+rRoqlhSRrxjF0eX4kwvGjkcv5NFNGqw2sfHWv0j2Jr66yyTvLbtCX1
rVs32AqhhOF1fyui2MDrVPMxaPsJXISDSLzY9/h+n/jeqvJaxqwEPzpjx834AUOrvrkBAkHruyM3
iX3vI/LL6WnJaTqyF3+0lSaernwbKWwBgzkaBVS2H4Fe+JAiGPxmkq0H6DjNVUwTqE3TfvbU1hdY
+gKexxQVwyiD73apolgMHyHXu7Cd0so0LL1yKZJyhfH6zuCHD0Pz7dHcHy+pg8Wtkwt+CH6Zk3F+
57Wcck9IWEZh9oGFpju6xwBHo9gWzIB8iGuxdxPwvnZZq0nDVV8DriubCAYNSgRPBLJamcSLX3Y4
SEDnzEM1DOcOw2umCkECwAreOr5M3dYXaORq96Bx6v4tHL3hglG1WCLuXpWrmxP32txma3rqMLnl
LuYrhIy6fg3ch2FhDPZhqcswBZRDm/oJAJWrlJ92Vbq2C7SklR3SduueA+6VwThHJ2wccUloj0c9
HUaMRgTm4NixYjB9+5p4QVL1tW7LHsZfXhPnXee6U3kSAytrBh5eoZvZp5hladF6sHdTu31hfs/N
nI0/DGh6bLXpf2tP2qom/nBugLowIAf0TxBGBG0vmSo/sv07IDc/by8+H8QnmrAqA+xmp1G1zSdC
Eru4gSzvG3Z+CExr/UCBHSt8P63LKebyppd5KhosoN46JS+MSv0jhOxR1fpV96ssud+keCYsOc2t
Kh6+zyRdVImG4ldhsnJekH5rh66pVOttBZXjrzHYwHuE1NO7CFJRvtx53Lj1/ws7oU92XU4ZaZcr
upJ9TgGd6KymFy+cvjcKH429n4y1LUH4LAlVub+ithT+Kl25dERUq+9gvgNc3v3bzzvYdliqxzJe
srCcyZKdXMjf5scTvGCeyQGEiRJ91+x72W6Xx1cgbPAIGkvOnNszxcb2scpxpyfudsnImh38k+zC
N8rs0RKidysO5rmB49kPYT1fwiCj12zboCjV4dVl7Wd4H7QxlG3HRPGPSLGXoQnpiBZhqkDEzYu4
D8OJZ1uMz+TbvFiv1BlpXh8vI6tznL4Q3B7vrKYxav74qX2elH1geLW4xmIxh1FUuIUEu3/vVdNv
z2M4/ewXYzE5jB9oBiyBaWgzWMQA5LE3P4NX8p4fX2nNvHJVfIGxaviebVgckE8jb0uKsWCR2XY2
dyDOddtYqsX77GdVF9IKj+Vb3LoLXQc8DqLw779tWKv+tc74v16P5wgmw2rrHEHRchiWFPf3/7MK
Hx2ZuroIenQoGJyP8UAzYE3r6l6DbpS30HWAivrbErHoqZ1C9pIwltwC/TapRBzqNQNEd68uJoBZ
lYxcnjq0rYNfN7awuElOIZtk/vgE1ULlPhioA7BZuaBnf22HraTB07w6z70m/dZeA6/e/YPlLKH5
1rnmbaQTkIdt9st43NJDoAJWRGPi72ojyEuSWfKyhpBjkzWLsQEF2bGdh3oHWCOXPeP7VWh92ACo
XGM57MauyarF110ZT157iSwJ82xrPmERjS92TUhBKCZSP1HkLZr6k89SVLFtHrCbu5/N3fV/vHAV
nRs7QfnaIg49qab7MYyKOUv0yxL7Ww4hMr7MH0HQD9+DlJXaquW5Hrs9jSb+ttwXQuJEg+6zZc86
ztJnnXkIUaRwXkYmigfLQ+5ttoX0ijHPil2dTcH58RIOvTlEoTvRbnOnab32Y60xD20DcHtmM6w9
d5NrCiGZiG9gWe2JpH6T00GjDLRWxZXBn+VY9K9x4rnDP9n6rnTONrFP/L91TKbztLbzmWovBfpA
fk0gT88mIPFZTmk+hNJ/mYPuUHuvoXDZXgQZrKKFnB8vYxN+kSUdUC1D6U697iB5YgZ83ICRBFYR
Oq85cpqikvS4mYB38yoYSXxoJvTQwSP6VaYiPCSzJlXU0kI01l23QLjr46t08HcCcxPUsFXnj2Lw
eAkohDn4Jn0ZJPNXk3J9WaZ5uc7j9COzW/em0aww3tjXpEV50Un73Bm6S4aWnVwt/vzjLNsVSz67
TyfgXWTVrnIrR9vDPx0Tt2vDAaKGoVNuVNhU65wtVTPW8zu8e36eQotgjPpC0CD+vI9WxYQQQBHB
qSqXBvpPmDbN3hmGCq7Wz8j6adnRYXtOPLnseSQXIIv4Q+EYKWaOxYyZBAvvNswfzAv8ok+38PR4
C+TpXI8GovIAJRKJlvUVl/Lc3H3jrW49qCxbW0YaqHs9x9NZd/ZD8c69z5yth4VHwz4hMvqOoMaT
9btl13QK80ehA6CtuWlRddua/6VL823os+RnNsMqtyJqzpmox0cfPVvSrLm+8yT3toq3YCQeb9uJ
J4dIQ1WMMO/GYkp+ZKYN4GaK4Lp2an7ZlvkXs1RUErverglbdRuM5LtsiqPi8RbnRLyJmAwX7QP8
chOW4QDz8Pvc1Lir5mDLbavAE0acV/IOzoSNOEPe3a7kLu4MOlb7Fi7W3ExjwYSLX9dOxq8w4D89
t6qnx7fGrSblDHYzF5Mk/354QxZ97pT+37d9SjS4bK9ymeJ5LAjW4NiCT9o8kNgbCCbur1UtM6i2
RmI3AyfWQyzJIxji78xa+oLmWjzeCbm17xDAs9XlUxLbPc82PBlQk55rJX5nIBOAU+AGHQc2nZYt
vG5uOydjSP80klbUir9eoOZXmsKwlnpk516ak4t6/qb95jBm20Gu7q9rTQP15a7SiWChRYaxA3XR
BvvQR114FO56Q/tRKDa5g6yVP1qm0IQ8YahR/4zMbpvJ09qA0bmX60m4T93poeoXHh8g6bnPNV72
jgzmutT1O1llfaFYwAus694PSVebu8nNz71xBot8C8avwcrawxA6CM1l1Tl0DOuH4rOu1+fOee0h
WBZbYKDLngKEk4osa8cvSuYnLZX7No2TyglP4eyEpngMMhD6zAsmb/UsZ3yuo+rzIXX29Ki1CDJg
ayWdrSZbykRCrPj/LxFMjWIIvshkPTRwSHp4fvdb4MtvppuWpzVLTLES4b3QBH9p0MS7B2tcYxxD
Z9uJRQU/NuhTJafJcvLtSN/jZc67JKgMbi2eJ5nKEa8Z/ou4efcbOr6F7XijEwdGOQ/8Reh4PgxS
R8iqieimxfpq4DBXY7O1/56A7v5UjPWkLzEMnCmq91ZH82WjNLpRLuMbqE0OPjvJmePyGKPHfvYr
7q5NH//1UoH8W8tcf5kWrEL56Jguwmj8bde0BlXGfVn0AcQJL+DrkdUf4k7KUavbp5WnadX3WueO
dsGTdLB5dMQ+V6zJuRGquxGx9LuF2Wd79+ep6C6dHUGjD1SXSKy9cDnYfeJpcybaw3p5B4Q6N9el
Q1FuCg090zaUnVUAoAUjVHR8mAMJoI0yChFE2dTgjkm27ZABU7kma/b3YkcXl+ls9I42SfLk+8/J
EjavnpkLOQXzO2Zv/5Wb/lDXaXh5FGaXMK9YVCcPEQA/5Jf8p8ewOowqObAlfYH4uMDyEfIS33ct
fF5wXvsmR7wsu+FWnEoqXXv+p1T4Y9q+LPfqs6IfHXt3HyPJGxKe5mAW6M+ukedaJk9x7PQFqzt7
CetA3aJlyRW4NKgWnigennyUIKfIBvsi+wGJFrGYr64Rx36C5y2mZihUPH9z7TC9RBs6ujeBlqYy
KqAGxreuXQ9y0u2lmbPoFoXjjszbegXM+6mmdDl764ZgD1PJiwrrnBE2HqhCPim7f3+mEB5gIB0f
/9XjW41rNxDG8NzRtiYgySu23zWIX232XLMMTnsMxbru9NXAV9+DTK6LB7j/mJ8ERf4iaBQYfzoB
vYNdvviYt3oXecW/pf0uvz/MmNhN8fVeFnMMnyhTyTaUm3T+RxKSH1vTw5AJWnMl9cSRSzD9RYJf
rDbA5tVDbZ0aZA0Y1G88ZkWQTXTHECUa7yG/VWt4wAp33Ow3DkagJgUE2rlc5raUHabSBzLPZ8sP
zdL8ZGNkjs5RUVgesaOG3lWwDsILsR3mRCp+u9hrXpny0ifk+m4WkOZpNXq5mAW4JFTgHT7ZL9WB
NWrGbisfAr0dhucH++j5huZLEPdgGzEM4zAQd/WBPqMbyfqEsQdBCDq9YDv6j7fwURggzn0YDr+3
Ngiea979Mh6EmWQI+K9YOfhr6I3w3r8rzJ6FYglyIC0SharD8xEQg3YiIPFCucu2XHPnXaBqMwrh
5auf5vmqAMwVcq5Pkjho5uTXTB3ZNW3wGi8Cyh6Hv2MpvD/Hn6AQ7Zhj8yHLOOSfoEe201/30wxG
XNVbU6Y9/wQM2Wbxs5/GqsjAV26R3yBp0JodFPxbFuFSQoOnqNrDaKqwX5KDxHZfzGQg1eZtosoy
ZGxidAq2ZO5tdgvH/IeoAAkHtd/kICrBLP5uuV9J2yHsIKBI8W4pnB9uO+V1WNLEFx9ggIM6fzHU
bEgDJTR3MzyP0If/3/PwB0ZSgDMbCjo3ZzY7gPDpa3q00raVtd4n/AxwDml4EMhCHmvWwr2ZBFD0
zJY+VneaeSUM5rqIPA8fLWbKdZnh4Ub2xELVV4toTmNnoCmq7k8wYL7a2m/GhzgcQQCuAN6ssK9+
80UDfw3DA1nJ/abUrGqHsYUVMlXTkpbaH9Yb5KYi3Ow3WK2fZlU/xVpIr/GqLlIjcpYB5MP598j+
qmx9YWL6XUeLvC8ZGsukKHHnyFM9PlOf9TvWeT0U4Ewd7XbPGTAv22GB/su9paK4htrxgwH+Bp1E
XaVI8677tMvKdlZAIKlFkwDLbwlEVqSMN8/913rxcM5YEpYQ7SFpt1hjjL+eqfe6NQlCoQEyPUqr
FnU21bnxJIzErFswOLZ1HtfTaxom0yXh2ATBDfXFamCyrE4KtHrJziPJ+j28iiVPtPh219mfqGyH
coJLUEMGSiN6Vh6H+ZKC9Bgy6Lxz5rt8EwYi/7LJfYj7rBOsojqDRjijyvhLmO0RRg6iNjyCS1pT
mZVRxF9mEZv96v/u4/S38owrge1QTN29qFrMYds2J6WA/Z/4RuYsQZI4WislPQr7d8RP8GrGZiw9
4301vqzAxWE7Z8lXT2VcQm8Li1RjQZwwcC2j+5ONlFRIXQV5DZ4B+TToVXxsbNnEYMCTut3Xwr9z
qGlyouthI9nZ2AxUyZa0xzpZv3WdsoeVYort0RrAUgwZQiQqZBlQN7Gv5fLkbUGw7zr3l7Usdx30
RmQoijokEDe9DRkCFiMNjmZMSbxc1LH21i7PPMV3uG36PCbzdGNkOqb8To1L5PlmxNUSXg85fMSs
9BtYx7UHegbq1xsSLd1T1qi99SaN0QnOTIiQ0bT1bS4y5RcBRpnSgoGnpCtoO1zacCmdVQDN3dge
tSIonUArAu29uWF4WjJxFHo8jTXK06DJkCPd/mrxCwPoRWUItalz6JEHL56e/T6bTpE8gkeBiI7Y
aoMc/Wgp8gtk2KV/+qCW0OZW1CBf6mrT+MQWGrtdAGVq88kfkvJxh/TUmDvImahUESRGOkeFT9um
8jx9aFnyhglQ59wffveUgstcALOE1NyC6TvzA17wFsCJ9boroMGfqb/cozTiNsmgAdfPcDk9OClB
d9vAGWZxniV1Bz/J5Ujk/Ml0uu3i9FUNvM3jjcvDtJByndBZYZSMkz5PAyk6mhROcX2Ua4RomsRG
Psc+mP6G5FCM3zwkvgBGNt/dCCRyruPuaKgWOwOLo5pM8gEyPnkmuOYbAJZlIu0Trrja06H5b1jn
rkqoADys1x2msuyYpYjKNnrWFagSREibfdz4qN8rCNRoSp5oG71x1kOqCtT1Tk6UcPSnIiNjU9hJ
RCXwjQgR8l8QfS5b1/e7hFMwpvVUn32MGGgMw8FLQc8ThhlU8XGvHB7XLXvlHIKdv5yc8M0FAV+d
Q/x8Rs3y9zEuUBhuQe5vy58QoQvsbGNbxmv4t4MpXTYtyMzeU5eQAOyDKD3kKw/sru6FzClbaWX1
L5YM/X33gYo3IYbaw3fN49TpPHBZVywchg1WUwlfRElgusve76By9XCDSomgZj4kHuKZM4x/Vs9z
juPw6kLHZqoYW8SepbqG1gc1tlZbVCaDvXYWDwGLFUppv0vLaYN7QD05o5VgqXfLGOw6DeWzbg4m
VUk5MwI/uq2c6OeSScBLIGjSQgpBLwi56fo/bwQbwBzG9hoFqdRLaHbRAD+cs3Qnu62KdUbzuvn0
BbqxCYM9OuCUO3Bqb8LYH4jnPScR/SSk/g6MenjOUolDJnDjYF4uA46TL+j6Alrphw/jN4cX+Cvy
iCjGGuNrTNojryl5aeavGcWqNL35kkFX55LXOUdGsRrE/FstIeCjaEWPne62R7C9ixpyRpOJiqTq
VbrJw4q3zFCsRb6MoIUYMNdVmPBAzfg9SRCfiXCCx8qety52Je3gKcd0C0uqwBdDghdlY62qmvhP
NGPAwIzMSr7ZcxAJuFwtmiwaSZdHE4iWqfb+EpMi0cmCK+hEtau9q8EafEBYqctV/R2/9jkO/XU3
NFhdNoiiUO2mDSvcoozCJRJhCdkuK4LgB8UjCh4sQIcGAhBqWCaYORD0XAkODpknXFrYCAgNk5xF
XBZao7+5EUpIvdqjxIEYhW2aX0CyQPt64mll2RdwHlB7dMEnlJmTbscnOaOgjl0NcuWLCAxxKU0M
lvXfaWI+cOe/wd3vqgBMCcBSjjTK4sc309kyFJjTJOJ5IASRJnX254IJa59ik4QuiTYKLCqaFwa+
UdxoOs8FGwZd2FqqClZ8lCsX4VIyGVxByAMJ0u/DVkMU8lS1RuQWtMs5AiL/rtTY7zCmAhZPv4A4
VXxMy8i3f7jluKuxxXhGohJnb4jFJgUQO++0DjTOWyWeAtqFmMTbNh/Bb4FnmmjBx84W6Sib3Gsw
7pN0gJ7fb2Uj1/bJUzApbQMT2yQwK4fhmLrkz2z6H/6yzhUb4BCbaalCH8zkkk7hYYGyiOShfULE
mzmIfCyjH3ZCI4+dXMo0my5zs4Bh0t4Hmb+HcT+WOAXuBdB6kMd47MFU74YEQwHvMUMg7fgdBypQ
pCAHlc8aeU+cTYI9lc/Lbm35Z4CGK5r+5BxmrRgRaUzvVdg2r8Pc2bwjPqx6BNMG5uGO9AxUVb8b
rp47ijEAWtd3iJYz1EXMflxo5CXCHi3TpsBPXXoQsEzvD0KMbi5FjHt8zF7i+p707cI9XOKfd02o
Y8vvIUlzhvzoOoc1VOMNhitpELlfMIv7HqJumrVwuBZ9MbLOsOx0bbV2ze/OB4PZB16AfGK6Wxaf
lvC7wryh/CWO1vppCq+wJMRuU5D8LIsg5MvxhI0pw9w1I/U9JF9MjQRiBoopcRqTkY8fVpkXE9bf
O0X1MfR+86Hy5lLPXVD5o0JnXW2JzMTBzvPHoE2zhwyO0atzeGgQqgZyMOAsFfPmsrDbCQRhhEH7
jjOuci+63ywpPdHlPlF32XjGDOzFAcwTha7e1FjrcaVcIX2NED0byrix707N/j5IggNiEd4OiHGS
r7gdQEAczLaue6ALeAJMtIPZ1h6p3ZNN/LHEJQcdJPtYz0HJwxkhog3PUtD69KCtPSJxOpWuQSno
N4qjXoKqFxkmpOY8q1PDEobHHqcMoQdfR+DsUC/ILrNhtFuV60sbh2c4CRA+W1FKAiHK+FMxqbY7
rEgzbcz+8Xn26vfU7bo+RAzWLMeI6U8cJAAhLEJUIAmToMjcPtoQAE+a8ZR6CSnxr+vkDcSIFpwV
EH1j3yxBMY1URAoZ2Z9dprzXFR6awLkZNPml5Jj98BNATFZIkU/EYnexU8GkIfu4q5MiJAbnHlAc
oZNAUxOwX2rGKEwCZrAFBWHJEGvOV7Uu+aj8dt96Z2obdmojkRXKA65FoIpbi3Mn6FZFjNpcrEGd
pz7jVQcGL3QKCjMQpVjO+wWXOMIZWZUyKd/RifECubfT1IsuT/FvJhU4tObWJ8BM9EJPIos3jGi9
LHvE0Ob1o+Zxm2eSz5VEZeU4bqSSw/qVjaHOdZOZvcj+YtDie7kmN0j+ue1m2Ca9W/JGSJyVkQa3
EUV5n8JJhzjsVQOZT/i4L7xNloJM7CVdQSB2xi9x0gopua020Cd5yhaO06c2AEK6RO4ExwZM0Z8h
hXbhUrDvsLyKFQgTxLUGeiLHoI5TmnJSm3E3h4j7boZQTB3pjKtybFv/u+nEAZEClTeqjQpLcf7A
PIBzzLsREAogwLYUQVuIGKz5gvRvaVvzM+IIOMEQfcbZvukecKkGIwx6A/J9mOJ5BEFb6/FDIei5
w6ICwqaB4IcgfjWCMvacFYeYTcVssahOqYRjiC+Q+1u/OCltAAXHAGTtJAyO/hgznO61LsEVV3A7
zE6DU8i+EUx+RxPJcknYr2ScjgPO4qngGJNiAQt9ZzZh+XQ9wM3OI6Ch8DaFnnC2cAXBZfyZoygu
oYDXu3Dah4sK94aGJU6cqYt+W7HsIzyDHL+D9HsZx/qspbOV78Xqpt2T9pAzG2OObdO2NUoaDiCo
fRU92VGpKjLD396qlx5hINQHmCeJ+gG2r9kPYvvRo7bgM6M5begdZsZlC0f0jLrGLWtePRJupcA6
h1aIGhj7DtIn3+MwJuz7SRRXiOftoiQ+TMCDL3Ze+e5+BFchZHB224KSfgZ/mB7o5DnEVdKtNAHv
inE10LG/2jAYUP8hzaJAWKgm9Co2uxR2UMu53uZd4y9vDMeXP3HhvkcbcZXxXgKP/3RJ9JKoeYMI
ydsdGxtT0A2fkYhkgJxBCNQaRS1MwXzp+HcbkuVl8Og34H3R2dvmN998ihiB6wTAFQxPIB5mhoXu
sV2KOazUgqPFTlkOSGvOY1/2OeBMgpIQw7B313Xy5JUoH4qo06cpaJICkA6vsjiCRtZ8GMC+FSZf
vu9WbG0aWMjOxBgEEcY+4BC2a7fyBaFcbL9JHeLgg8fxAoLsgxCXcupggy44Ykz64w1MHIAv2fc5
CdsT43NSZXLc4GmvP43q3zL85PkiQDrNQKENTkrO+WcnpKvqQ1+MowjhC9h3H6cLXJErPsCtFMD7
+DcxAMEgsY12KvBx8AqYUR1H1TREO40zetyg1wLc1WsPNbrSy68NSGzFJRKaUqnzqKfDMk3bc9jg
ic4IZuHYvML+QfotHXMC6DifTSpwSy3fhBlolXirrdYAmTocN/M/jJ3JctxIl6XfpdeF3wA4HEMv
ehGIeSCDo0RuYCQlYp4Bx/D0/SGUf5VlWpdVb5hJSZTIGNzvPfec7651I+diccRS1+J6IBa6RjXH
K56LU9Z9JFXqnI1mZRRBs52D8dDi6PexptcbtIC7OdKNdSXDo92bOK2Kdq3bVXiMrRiD1zythqR+
q/r21Wqy7ZSZvDvypN+6bXPvhKVGeTAdOFOrXRv3PwMVGftSSz8Z5IZHNGaxEiE2SzVY2OZMbTPL
Pn7qHfuIzRbGmKdHq9kB/fDW90V37C31JbPkd58J3jFeT8Mw9qsgI7cet89eUcpNhuF542X672ww
H5F5izXd3Egv5eDxTj5t7NPbvA47f5dZ6Ekz5v91B3ysCaPZrweUjNlK1FH26UuZoAiVWVmvjRSd
P2m0YB3PPW8BbFV6nO0qO+5OTj3tJ6MPOelNue8K75pEg98vspXtqHFrhlKS7eikTxgEKSHBuWAN
zi6SIl2b1ISW1c8XPe/3LFATq95DCw8UUhMNKOMevU/WTeWUu2CcGiaPCD111e8aNZcHszN/Yqvr
0X9qfWOIr1jF2l7ET5OTMi1Kxlfsfb8qK+JrJJ4lC50k7gic2+YjoKRL5WD4r+fc8Kduxv45edPd
1BDbuRMtT2yPk8WPMp4jGZuo1IIguRg+x7m965isrdKBNEKnUf4VmGqJm0FoIla/srNp3zHcXTVG
9xBgj6B8dtcyySofUbgiD3DSneLDbLKzU2UWJl7j0iv53UZZiushvbf72kPUXBURalwRZMEKPA1y
HZM46AzvY36uW1yI9JSqob+NWoQvh6YjSusCNSjYIr11u3Bmoinj4iyd7DKo56qIiZAOWrVXAfM1
mUt87OX8ZjdJdJE5hg+jzygoeH/CEiCruKncRHBwYCDrG+33JMxXFWnmlv6blBcJRbdiwGsQR1gJ
/nXsNRd6yAAjMa8RXtbvUdDsw4x3fo7TvDwkJuJeXWv9MakWYXbFXAhtyO2ys25MH71e6cfeLT4Q
Y3TADajFhTGB7yjusNS9sN1F7MsmeTdFCRumHz+VLHIf/Zd3Qdu/9oVmn91kJ3gbJvBjNsXYu6jH
88lrOxPfSfQDpdEE1AgaJYhhHTTI8zuAd9/RVF9nxrC1MaanQMeN0KdOxfOonRy9Vj+0rNnrlRX4
g6aKjW3FvF3I33FIPuKz0nytDz8GfbD2ZhGSUOR+9QsQGkz3dATtooPaqD+kUgXbNhVMMafsPYay
YUKFUBOdixJEfgIAgonDa7EujGvSF9mmrYt+M4n2onXRfa+VXxamfPo4qkhX4hHMp19DoBMszLlC
J0ZaPyKnS+7rVcEwJjQbcxdIYq3VmAx+SiR23Uu1bdpxJRqlDrnAO0bA8ilz8mmrDeIH5M4JZMkw
cu34fUqXS6ODSNIPPxqtfdOyIl2JWSiCW0iAQ5Y/hRpvU2WMl8I4Vi2cnVkSBFEmXj5b/GpnMGjk
TR/cANdQI+L12HggI4SZriX5fMh+VKeYLWwShXm/aYoC6ooe/1AiPk1ppvbSjCn4Es3gjFvU7lTF
Vze2VpGDI6ljOn4KGnnXOb3Oo9Yr+vkmRfOplzh/E9L8Gr0/l8FHlATKB0ZFPC7Q4uM4249DmWjb
3HKA71SEaBJjfjTL+Nrk+poXfPKQusNT56DD9dPrpPrqidzptpz6N5IM5RlP6atNgmo0gstYBJe8
GZ/CEm+RXQdPjDdo/MyPeER/TyX1tvqo2wh9KjCKc/9TGTrNPCnSLIrpBrpQ37TuNK6cuE3Pparx
cqo0WYOA4Xql2+W8nn7XgbHWzUSce9zZcmzeDW9CO2/5g3kCyE0Zwa+iidvTkPBIeTM0lrRhahDr
RXY2siD984GHeNUx8tmEUzDv+jz8Kt1kqfmiX4IM+s6Koxark7fVWBmC1YEauaiZQTZLO8coc5DN
fq5anvk036WCnh8rIFDYz0bg3Wskl7yBETTQr7apF35Rmu9J/3tEBFgNoW5c2n7iMnUiucJs/DkK
9R3nNDxiwnRa/JrCFmPAgPCZWfbPxKPhTo16NQjaB5WJ9yISLny64GDUjJlkEaIqosNWE1VgmuxK
rTV25BRN3k1w87BsbOLBivYmZgsSS8kGW2vvu7P93CgTF7RLOx4W+lqFSMChSraiH1t04EHfVxml
1EwIV8cVsJoHJETepIPFPYefRlsTiWcnEamQJHX3KXahau6sTduI3x3TBs8QnyOt5WrW2w0FfHbf
o5EyrlDU+HN4UJWO1IUZiJZLRD5KFSr9yIXRCLlyR4kJvXgVIny1NA61pP4BH5T4k6nI06v8JdBm
LnxN0O31Jn5716C5r/qjoye/uyjIjiz++aCze3VnJz5gmQV6oNrH1nPrXYOQHbMA1xejiz5pIQyp
j8lSxCY40WU2vgwTHiXzdyS7XzzmxtpJkMOTOKzfK7zM5hgENFttsyYpt/PGRD5kVrHWonkb98BC
5mrHSAlqZ+uGG77Rd+kwvBDS++FxXDXx0m5j0TK172TEg9NVR5I7rJZaLSMFu20OqG9vboXILE36
4r6eNmrkhafThOmogZHsra1jUyNxVGZQvtLaughJWWBlxC1nxKEtPe57MHVw4rp3uMvjBncgEogE
OhaM9NeUd4D1wsTdMv/lpgECBOljA9+0XLey5OpQAcNEzTqnycBDW5vxOm6jteUikqiJzsqLrKfZ
U9nRNcYfvRvFmzAtj+hp2brOMXHUCvXcsbdtMNmXhuHWCalnrTBrbQzDwCnX7nR9qC6QuJiO9es5
wk3tZDjI6nZufGVw1sgoe4kVygm4pCNmi5WtZ8zexgJEkCSQFUT7mSbe16l3zbGnW01gNHjKxTMw
w2YjlnHQGl71bcmFpMWIBJ6wEcIY5PrOUN4ZAqmAmmj0OzO6pOR8NkJ9mux0WBx0OYknI12HJSK8
XU10Qkb0WNvmjslusFU1yYWOkjHWc4Ouvt1ZZS791EyZ/MsfVTQA08PnLQTGZiKTB+Ye5CbmJYlq
PxWNVfrSzQ5wrYhE+pD9ah9k4O8eT7w3vAV0F57u5Acjt5/MqPSwYhiIqhQfbUA8m2FB9VnT4k/x
z05vhk3tTg1TXF6IIceJrihOlYudQxsmH8zlJo8sLgAoCavAwN8fEKkPJPq841KX9iXK+jAbQCWG
cqL5ovgEEsI/x2nAJE2tUuZyPlgjZIEu4m906djaSTygjOC0s0Ma5/5Hjn2ylEH62JTZfpBdv9Ga
gMqncg8jAgCNvEepBgyLIy3d9dl7xY7VVRKYb6EU+dFbtMFFRrGbiWTHUJeYu1zBhJT4VWXqCHrl
BSgOkQh4sGvXSVc0u/XagQO25nE/uIUWE7NUsR/N+Vm10vSZhK/6BnJoRyvllzlKGzpgNKaZ78J1
2Uwlf5Pj8BgQIJGcd/JRI+vrNdyx7nhX2CHWIB2hvMPZEiczSdJu/MqDbNx7eV/5Vsk0v7V+YLzA
s+n06QXxBtKGKHmT5XXpdwzm8g6dfLCbYu3J4ishga7Xrg7FYAIvhae1j3ny3WVqhEOguOAjX9di
qvnTaYFqR5afRjrkN+VD78U/hsWfbLkPs6mVhOB2uKMevNAKHuxMMMnO5ouduud21PxSl+XJltoC
BKu/M2+YfdLJvKGcOT/lEG3ysEAS9rSPENDprgautPKIBZOKRHpW8XySYfCom6D5DIBl41Rr1P9O
jBoULKhEgwKiCiCfehQRunNkrlmucI6vZi/tDwM0FxmhoTWhi5l5LqyVk3+O8AI2AbR3GiG9ha4b
r3ItQNckcpJjdd9N1MCSOhneREPWEl5Np0z33AcVswuHV5FsnjHgnAw7tNfzDCYM4KGzL0GE8bpx
j1PfLqCWaeUl5UNVR/ZaKyi1w858t00i5Mmj22valhJHbjnlVo2CgNsLfT2O1bxdLHDu5L5wH5cH
YlIQGGrBmM5rTjMngugogo1Qjoc4Tndqmn7TymWr2eZVS3eiae149orpRIzX3tRq2lgNPYhSst3k
3MEdqajjpIw7r63qbaqKZ1HbFyHc+a4ZoDiF3pD6aJCHPIlAomtT7lOYgBtC9wg78dhHNaSMSqZb
nAGdL51TbUXTCofhxi6EdSS7yFthTIONO4x7Sw2fep9jxKzKEg+TfY/kSL2JZrDOR2O9YZ49n2cG
bXOaiy1lMN4JiCqdnYj9/JIV+vtAIugpWCIiY/oZeVl+D/jsrkm/xmy4IlWoc2UjIQG5JyQ1ZkRs
EHUw3xxLwNnbWjoWmnn0MwF7w8TwbQCJicW2JQZOxHaDHfObgZpE8IjuLTkGO7sTIbQa40VLvEua
5BdDBBUOTl1b42t+CAn+xEncnKwcrTTTjVc16L47gVopOvW7j9t8izVE45Lgh2rf4M7gSBH4qVXz
XqRMelrO6NnmJRxnNOke+OaQ99K+XlyN9iwwLCBW9225MevpuXV1m16CuiQt6AOCKvMjQgxmLnHj
qBYpkQBXGMoS1uD8HIQRcF6QivBno04Hd1uhSLpEdqwQeQbH3nYgCM8NFNM+hyQIst9W4Tk+Tq53
rSy7dTAbWwnGioY4fCY5i7M8yyxufNLiutqQ8mqA5A8s6dqG2FPdiEGD4bT6TsYEBgL3yOBtmy3m
/YlBRxcND0apkQ/UBcaR0HOOonxsQMQ43S51MKHhvXj3UqWt3Lm2yC7q60LhTNeFsTiBk3NCReXa
YivG7yxF/zX7Jz1sGAjzch7rhqZKF+FDauvoD/eZlkw7pLizjvFlZXhatY4xxG7z9rFyiwn1L45X
RmAfiTIHW0ITq6A3in1pyC2ZFHtvzeGGAY21FrmOACCmjVzubrvP1dnV6fZHW9uUCXhuBz4/fsIB
msyUa/nG1Jx0HY3OqqTpZXKGxUN9wjhcArJdufEmci0UnDtScEMIj36Kj3HWgalhguyqOds6R4g8
7amW+quBzAjZMsTiQzWoyI6dSbK9ejaVEUfI1vPI8zcGenOjyoexU5ehMbGzUz5UiFBYgKNLHkTe
OqRrh9+AjDHedwXAVG0JkSDo1ytrdLS9pox3NftG/DQgvod8Mco3mn6ZG8BmaVZaqqxs1NRdiOZ4
HPXqUYT5TpEk5cBrvNNYdlfD6GhPRdURpXbeKKdr3CfnOiWzYWcpfAQQxZcaa+uqmdSdVvXyGFoW
yWy7u1Rk37ZOcjW1qyEjaI86Opto3b2gdlrNlRbSMLo6ETdgwHKsJv4O19veOBelPmDVaqLwSshX
rrBk4PLzIFAswT5IQTwduOKwJsHXGXnBiXEG1RuBIitl2N3fcFxFqri7MmafKHheTWYfCrJ9cjSh
IcRoNECYe0Xt2HtX5OGqkI7a0TzhsnSwcuYM+xFdnm++UKPg6IIkZO3An+NLibxThJPeD3GIM8BH
0rv9MarD9IQL2F3d8t2LdrXwlrtk4GU4tyTqYqzPeNVesCcBoAXv2hKeQhSEIc+jSGUWJxtCVQnn
sxc+l427VC7qcwQxZGnuTqfOfeDeah/wYJuIbBH3ZW40/u2BEHJAcp2xAmJ9hROJYT3F1mz34yWN
3c2MQerQ4Hh9aQtidnNlrUYJtaIMiFmGEXSDCCvvCwAV+oFZf1SqePR6kGampvzbv2zIkpRF06pz
UCYuN0dKLFNFxbPyPnAzU3iOZbu7UQeom+M1wBO5ifgSg/wPVTPjmdoTP5oybPA6mkSuE7ac3J4x
Oy7HI0T+qxyH6XyzpMIqsfwbSm7AAsESDxFuyTrmwJI6hG98vvfAJKx74uzNOoDKQlRoinE6Gvgp
lZmYvlnLrz/4tdzqrGebknmRcql0qOZJFhMuQyztQat4DlmxGksZqNolRXP7UMyIPFEndkbfXGdm
KU+jt2tHhs5DUmh7qNsHnSUkjyVDYJ9FFcwwNWLBduFcbl/fZ1gEPOG8ypHMYogPSWjZzqHGUUjs
mxs5xplgGg3lCKsdYNHtp1VyDmCalPwz5kj4cFLJC2FOSGFRisn0xu/VFUFMUBzkcbmoqUkzuU6Q
v/bUU7+LkhoCpgdXWammXaix1yJ0ZXIeVPY8tNVAiNVrSdgRxEkdQn68eQQXWEtorqmfOSPfrFbX
D3LERIUNxHtui0OzxOx64Nm33Sg5q102aR8GFEig2BFpqlWVOxPm6fRi6O24tgg/nKzSAU87jYEf
d5yPA344TZXy15gJkm7ouz0oqynnVsoICq8Ng03IEEBO1ZJrJIADN2KeEjyi0XgBLL6L2iq+w6WI
+zSCx2/PWfo4WO52Sgw4R7PzZNxClG1e3xd81ja4csuggOhjzr6jy+azD9CIcStED4UxCmxWPHWJ
zbhljLv555hQ8eXDtYhU9TJBp+JBGsNLWvxEFh4uwwLMz8wiwAbbX8fBedOFRQfTj1Xu938YIq2R
n6tgmq5JTZndzCGhm3w6EXdvHxqLYvFGTzIiu8eqV+KszfJwaxWYrTh67FM+/9L49c1EWpKALq8u
LBxPDiSAdRR55atZlusgUOXVNNMSrnzOhdQpB7JMskTcyanisWOMbVXuXtNCLLPLpNuUnSAxOkxX
WPyMM8jV3/AwscJOZUfJxcgSZfj5jcjC7RufsKs1Z5PJgh+DH1s3nf6B2pQfp0iMLF+pXm6AdWeK
QT5mwrprgnrm7nKumiw4B4SRnaa28YMC8WaaIuyPbWIRDBsMJFOlo4a/Nf1I/5j0cGlgAQ04E1cx
2LFtlgFiJgd3TB3WOpSel20tAyB0aEWNb4VecpQFJXHHAXwVzIuXDPTtQcWasKmqZOYHdLB8kmu4
xRKbCMaBQG/2S96Ae3ca1B4nbk6bvDgFrXw6t2hV0QLrCiFlGcK5H5awLmjyaBsI0s6Do5kbPYto
tJenJIhaAuspqjx/jmwIg9s7TYu8bbHgMYmCGKNdXQqS4tu+CZgkT8OxtKSxurF6Key8VTEMxaOW
NM62aPHl/ddXh7r+Ce7AuW96xh40z9k+E9EHVvNDSuw9HstmZ6FCbsbSAAcPDPyOX9imXn264arr
Zd1EESPY5MUh1uVrGXXbG56rsXDY34h0Y57jjOjm5dyInsbCbFYeFJzbgUigEvRFkW3tNsM6UNH+
sJaCJrl00awIeA5j+AelVuabOlf6+XbZlrH1JftIQfJIhnO3fOh1MlDQuI190t4zGjlzSS/n+78/
5O6bY5b6fTWUjwNaAvUSv2XZwVc1gBS6fTaLpKB4H/ptv6cjmH6KwG1IW3fYESpeBHKyxKNWtJu6
a9R70VHjYiYUl7DM4zMeBn5DIWhITGvUPa+dgQXBHaef0jzZKvIOhdMH/hzmyc+sdxjV2hqdRWMb
iBLLipZMfanAFW+xU5+V/nOsg/g3RBt8HAYS9R9qUFtKeGrB71CPCFvYJADYbvOqaTDEsaK8ofEq
pyZVU4/h1khxAVhYDW8MmQ6DwMpAWRd23S94R/NFTsZrmufi0sSvt4M2CLwMklr702kS3edM8e7H
KuCbKMIrNEX5aIKxGFJrA2GXS3+oiwumsgeY9NraEiE/3ELv1IzgfSACciTxGOwLkH6bGzpBhcN1
XEJuSTJVh0lzopdi8h4nIOx3U23EL31soLI5CUD35TfFkoeT3OjdWFOqzxzcndSSk4vb/FKOaYX2
Rqp/boE3awrcaBUYOGod1qZ0WTPuhmRIH9qKw7i1UHQnbrpDMsnHP2y0ZIAAEIYLXiXbYRGBxh0g
EcS1uo8bovKagd9g2bsxF/rpz4Vfu8rD2c6wiqCf1vGtjEInFW1s/zw55KVKmmKeaz8FMpEVDqlt
0JBt0b8kiI643EbtNEYkVvD+tufQgiUZp5fbeaKFxQiNzrFIrIAg1KhCVjlvlP0N0D5P3nxAp6Bx
6BkxOmkdf4IzeHA4sc41ocGV3jXuQdfTejMMDnQUYuebsGzGS5193yqcnHuN9hXukzl0zjbNjPT0
534vU2e6lm71qizpod9yGkUWwUAMH/VGJMZjxfadO9dMrMeE2etsV6wi0a2JsjQ0EWv6g+01TGs6
EZBlmBy0xyk48KJs/N4LMj8mYLJmeHzUcVTdd0HJXHwBnjNLch/+fAuYCjX8PqraCyesfkyYAxez
HViXtqqOWrLsVMHlerQj6zXQgmxnxMwd8QbAxIMrVOG033ttk+y5YhGegBnxWC5fxKqVK5tjliUL
5YOtEUTL0wBjCcc/OWK8VE3+ZUEj6Nq+fA4b/YIF0EYDsvmMAt7XSMY/FwO9lZZYxNyq9pzYRX1P
6o2egbcDZ8n0k4w3HLblZ3JIVfVKo1kj7r5FLTDOVWmvB1NvzjduTC+rv5A+f5Bkwkz0lTWEuZ8N
uJiZ8DO+kTXKXsVqmsj6ahkJ8Lba3CC/KRMh0QnrQYUV2IJcHrD53CVZVPk3jIyhEusaqgjXK04/
vO7fAEV4d/A/g4x2pKbBVDTy/vatGIjs1U6RW+NYDbRN1BPMRU7Cfdbq01sfMbvN2/aeFI588oYX
SAe7OUuijzArlZ9aBvpkbHvbVGeeAr9md8Ok9irOt30qrmXP0j1nWTtgkI+sCWADQ02WuPxfLQvx
GUUAtGRu7ozO4QYwvp36MqJWrkPnYOBEIksZg+KpYR6DCwTw2FJO3vq2Spmmj1kC4/jSqWGmCjdt
Fpe7ZXEE4Yf4WwfpV+L/3445JS0eP7EnhYyzfQHvq2CwDsmgyEM5NvbDuhs3ymYYrW7cASPJDkMK
RRHPWbxpLS+hL6FEtpesMaQBBhr1+NnqmFqK1PRZmsQqnCKAcvLnfzWSIegvzdooa/kqXJbCeEks
9zgc5KtyI+auZvFetE56LkBYcRr15aovbLE2FgSmJLB0CuL6a7TIPt1ok1ODj0WfOvi/pes8TW3n
rZvmm72MRFLNjA+VyZgQRK2P9DgwxFF4aQn6bd3cSg5aEDxLiEP3DWdPvWyLwY7KH1XoLuWge3+2
UPH4UKJjBokJrSeOtLYTFSJ2LSqdIcBJdGsJKtfRD6wc0eYOi+kwGo9FYKGkpvVnVU8aY3i4HBKc
5qrhyrmdlbdTk9OzKnqTkfAJjFrp0wiy/W2AMuWWCAe37yozohOm3nDdVYCypQMradCEB+vK3OtG
+K2QjbfZlDNcvW32Gc4YUfK9h51nN3n2Oa66+DnvzlT01c/Oyql/Gjt+Bgji/Dl3LF4Ay1d2S9Qj
nsN265ae5fO2dbaN2xbHSit4O9niyQKHUnfsxXKi5otU5tnQmZXHBLnvh8D9JnRmIsTZ3wWkwmtr
qx9zbPVbKIxIA4EVPJes+VSRvZsxsvg4o/v7stP2Ixg9AOBMQpkdkfTMYrjXIQ1ZHgVYtXtQcksB
r3WsI7kdKqHuclvIbs1bd74LzZlBIifZ4PDqVtG0K2qKqskm9CwjFN+isA8Kg8zZ8sb3kIV3J0fO
7okzMoUAw8wr44x9qjjPgnwenluTJtXNrFeOreRXnPUPVp67eEPCI5O1aV2h6u+nymjuXF62q7Rh
dDaWvbO+3fbLkBuZbTrfvuepeyrcsboaTY02bVAX3LacCNj3h7nTD7fLTC7x6cbSeRuztcxkTcuy
g+T2q1MdvrEtRoF39AYeEMfdxGHzWBqDybPsekeZDQ9WZu7rZa1VXZkP7aARArDVMTbJgrvzGWRJ
v8F9mj9PwTQDiqCCymj/5AIXgXAkmCwqACAQFx8N6KxH3jD4ouaeGl2wd0Xqqnn4r99Is0Du2aiG
LFlH12CRFKYs+MYuJrcErr+QV8W2GUqZsdcEJqUkqes7ueseaSk/FHYbRuOcXZpIWVVVBbj9lqoi
KtyjHYNdGAznQRTJE3m4Dt5M6C5hMY6T1o7W7KVlDEawFQFZNX6hZ4dobNkp12fBpfewF9VuWl27
kJGsyaXR+WPVijXpz594K0FME9n2pai/ZwwIhwxvIPdW6NLJRevbOpTc05j+sqvqMCdEI7kfw51k
PcClKhRlDtMMIgmQ0qsgwi43bvVynPZazYq3hdV2HzX5/R8ksbS8bR+lLFkDBLs00GmDNAjnByfT
smoV2k60pBVorEFdMVVJ2KFU1y92OiWIcCgimpEceWCgUfRkWW+/NAX9i4RO48vcYD+XQ4fcevF7
rYpdlmc/ekacd1or31MbXbBKOPcL4wlv4PAiFYC4sl+IoreDBMn6Lu9QhfVS2s9pol/iCK5/V0go
4PmQH/6j4q+P0S6NVeTVNfV+LuCtQ6T+D92MCgf9R3LdW/elJHquZUeDTQ+Ir+HrGErEiHldUwaN
hAtjFiPiqK6/Qf/Ec3zA7bJHgX7XvcXF2gDmbycImLW7igTaw8Dmo1q0ryyAZDgZkejDMX5tO+sJ
M+WGyBTXQWI+DaP3WZn2piiB/cxlpflpKK9t1Z1N6B4I63wXVrLPCHCGpYJX58h8xTjxC9vQCwsD
eciXJUVuIQ/CSRb6jYWJNh0eo75beTr3cBI0T3R6AIkY5RJZ7rySiQGR9AoPThN3KCHTRiM/jQd5
CFKi5hHLg8CXGi7jxlowVppZVmDlxiY0cJpjp9SEzuovl8eU1Z77ovkfFpya/1xwaupSGLrBxNIy
bMP45y7ZoqkrrxuTGqm5XA9oUHfT8iF1r2lLDV5bU8VEiQ+OUfHBdv769PZrYcc6St3Dm9JgTr8g
qR5FWEMe0IqMNQtCJw8kpXj486Gi5CwHepH/tay5/msD9/XPgs8/66S/ympqYhS8f3z6f/abx83t
K/7zT/z5C/7zU77gr79wWZz9t082/9zh/d9s6X783fZZ99/85t9WeP9tb/y/l6DfVnh7DFZuP93X
+L//2gP+tyXe5zL//Gh+xR//j6/6a5O38S9s9CBaBC8gYeuChRvD72WTt/svi+0fnidMnVSQS1jr
vzZ5s+VbSL5MOmxFtWydNTfLHuhlybf1L9thlbdrCFPQybIB598/4t8eer7bvz7/2ybvf7ycdIN/
x6bDYSkKzlTjn8tiS/k/bfK2+34fi2KTZqFa3eFJC3//fyzsNi1vQQH/ea3cdoqbumsb0jFNj4fD
doGz/R0VHEJdrCvMwqt5soa1Pc3GsRjtK3g4uPhEFzaWGfJeC8JjWy4ZTAyORXbSa/2h7uqD3i+m
Whak+HVn7atG23ix9hZHaskw5vTUyiMZpn16tkWIxCHxxWLy7D4BnE2cGnk/P3EO4kPUIbMC5Dh3
Ud4dWe93bU3rF9Xoz2Ew4D26CW5B06qYCG4A5BnIghXFs218jcn8uJiLyIV0ROBWlsKVpetl6HeL
fDdP33GVHcglvIDTIBvImgPLy7/A8YALi/Z6Y4GWzo9RYb8HIXBXmwUkJCCf0YlB1IlhJ8q4J0fT
35lF9To1zjMgsCOLsva0zq1vFBWehPzUxwTfk4kl7CLF8yprMpQThsK8nJ9qEysuzIB0NJv7xqWG
L4o7Ns+Evl2MxKSdU2sln8VyX894puqdl3rHkraDGZe+N+U2s3s8Y46jr1omJ+R0XH7O/Dvqd14c
s0PSsInSEtm2DD31xyx+HjXsFpoMlkjac1BF1cq1+yds2vVeVxhoMzxoJO/2cYkvkw0pJOrB/IEB
OVrdtwn52GenIobiZHY3leXAmEHRXYm4es8b9ZQgJiZgLKreW/A6NKB1McrLHL2GJMRYU4m/dTT0
bzKus6/nFzXzqrG69EcltR/t+Njh7FnrlDKRq1srXZv1FUOfdpuRs7mLq3wH1lH17bPjgMEdrXZt
Bn6NIaiQZoCiyT2RAlsFGspPni75RrzmMn4h4QlLdawPuLnIB2eLW6cwzx11ZGdgbBzl2evK+6Lt
PpAYGWan4uBm6o10Lh7fsYcQqyqecwNqD7HJ1saybklr6Q98c2hsQgtNSo/huXeDNV7jTqHf8/Od
MESIla5b1YbY1LC1oaGBdwkuLLQ5lB7e3FK3X1iL8IF0uerMkQRJQI+tz2BVKXsmUzLVH2w4Ao1z
bAaMsW6Hb449UoDsg2it9yk6KGxITQPmbTE9pFDzHmXA0ogofzVK5p2lXRyzTrAySb1MYfCLqG6O
c+RKoSq2oPbByMfZry5wyePRUayF11Jeq5ndvCH6Vaiu6cRugEowDIZOf48h72DLst4VHtmJkWFp
FprYKZx03rWaZDPSPB00G/tAHS55kerVy707jXfx6IAUZ+Yd8XaAuBITmeI/s84yhYBxCpaOj7Qo
mlXCmHFkJzh0x6VeIuk9xKy87dpxU344cN6IckqKrwK7YGyU+y4NTpZxjBwci3F/TayIfEM/8G9b
wwWfvul7jXniXsVc3/6Q+FSrkVBJlIYB1uP+CchEgw+O6pxiCIxZ/0WnxuLJMOKE+Kkx+vXZKoyC
JPAylHwretjtaztloSp7WHG+dtbB05gT9Wm1ikxWNJqQr4WcZgKMHktf4i46R064T6JJXRNGW95l
mJvwHsy1F85HdLsrirvptC1xnKjHaad7a6sfngqL0tBoyCA6dOpu0LP/aXa2Yej8RECQ2//L3pn0
No6sXfqvNHrdvAhOQXLRG82SJVmWZTvtDeF02pxnBqdf3w+rPvSt6d7qAWj0B+QiE5nIKosigzG8
7znPsRzSJwqyhAeJRcuoza3Zju8e3D72YfGp1L14HTTlNql86EVkdXS1egSM+97xKT0Oqr1vV+/9
lOMN1+2XqNWehqLsMYnbOzeClZ9OpD8O3bBIKiTawXQCiN+fHWoVdK6x3xpli5wn0QlwgOKzCHr9
MTZh8FHk+JHNKAfqOj7GoVXdO3c/uohDUWnnn344XUEXxstO0DDHONaVb/jWurvoO3WWlJhlZsKq
OwR6JLf0ko6YXvJNiBxiGbDbp6mUH+NooMWU7DM6uz3SSGo42bRvUu8hHPqXwCtf5GAYRIq42hKI
wo9hUzCYVmKimTLAKYb3vqga9rB6WvcEZ6Js4xuRwYqaPpA6HaTB3igVPDRWSlZOzfJCmWbZyOFd
w7iFJ7ojMBrxQzN9oedHi2MPX5UDNxGLaIEN4amq9FPUinvfy9CbY35E5rXuSfqFkhHMzkWQQJZm
8k4HL550Lp2uPdfxsz0ON6IDt1JUuxY0uKbo3NoN7SeBCjJ7dUYDbS2Lok5h0Paf/XLd0PrdNpBP
F8LE7szUQAd7dhF3zm0ICTV3cJNGlvbeCPsx8iKdZFwk+1Pffw2g0cB7XWCTZEtWde2EH/dU1g1g
0XJbZHG7LlLtOanAs2dtjT0ZWW2DPMVpiDJKZ6kC81u3sJvohT3rXZC7a9sjjEv27vY5NCj/C0qf
y2lUcAX9Qi0dvWY5q7CBy8k6S+1bkDDA6Kvc+oTmpUfwR5iDRmtK1PZRbW0d3Lso+scVyevxIi+d
h9CDVOI/mGSNdUb2MZmK5Hm9e+5sHnBP16kb3HEZOOk3BRr0ELoW6GLBDFPhd604M5IstMh6rCuU
cY8WwbELJ0V/msK8MM2DITQQO57zaGPTDzwgMtkRnrK3qN58Kb5iSjpQjuuNdOfTtK2rtdH/GIID
Ad/hReRbActuqbLixxxTveBU/pjXPYYxkBrWNNPo2RpJYgDquAcmQp7HQjyFafdUCqD6iG7g/NvM
Vk0FsLeEYxEZXr4N0UjaVIWDtnmC5Ib6sY6Yu5vgSwddtU6z8WHI2ebYlYNEHg1rZXPFPYlUZNZV
92pEChpmkHT5E1XeGJZJiFuTagH6wsRHq6RqbjVJCGUBdLYfy5lZQp+kib8Lun2tKnapyr70DDda
Deh2mYYe4NoOKZVRNJhLkZC1FqLXCkVxkGicZOJhF5otSC3HfhJzRyKIT0rjIyIYGqjLexReNaFr
RqJt+4BDvaL0pEYH8IMBYdNMtwZrJknpDUs8aayTob+NUQmOoqLoqkooMtKnJNgkw1X39XtVmJ8h
aPOxyJ8Viployt/Mqd/aWdGftvpoyRtK/j1wbvfOCGE0qfFGgqgPpWPtadrRTdojKUc/tCCk1S/e
I7fVkELTAoqgFG+yqIXRgMa5WRax8VpG6WUEM0lTQV9lPDusuLs8mveRjUQb2DG1oOkdC1JtpEPz
rAYtA7tsY0BNIfSt3zWjPNah88OLjPxg69bOajLI1lioh7Rekq/iQdTxLgSV6Su3z7qFUNqzofV7
+jgISDMbjrVebiJ9vI49W21VAl9XUmkHK2yfMxZFU4DMsYwOAAQO06wpnlEWr5mALJSl9j6LvF1f
4dLO0gAAaRSxPg8PeQ2O3eSikZHDSunPovRfh1p80ER4UG3xjBbCW7jZUN6zhnJELeke5ClvhGiE
Duw4176lmY4ESybJhh5sBTJ20fG6LxhtLLrjDrNQRLE0PA9GZ0MUrFZhlu4VslNUVuUR4vpel3G8
kbU3rJpwr3KeRKsl3J2xeJOiJWq8nfJFTYQ8zmoPhE61wxNxw+h0n3gZDsWhORFP++Ga+bYqi4pV
07oowKwLaAc0XtrkTVbFgYDtchNWZrQxWrWr2/7BbJMvEGFjb2wqrgtdULjqEvTkYwEQwDWAmkki
un0d+A1UCXLpbHVGmne2B0CeXrrqC4ua2Bhc2FI8aCEiv1KvqFsLgMyed8KkTsoAWkYc/2yeYOTS
Jg0G/ZhrR1BXtz5MzgjkMWQF7UsVD3uSq6jQyd1c3fPDDC5He9DwBZqi3yeshCH1/K4Kv2I7+Qjp
yyX7orNiFuhgXUn0YHr3UuYN8tH8OBrAQfHR80eoKl+F0V1jWb5MVfZWVcEHuzG2pgwGsdAn7wK/
YSEwFHo1GCVyntybJZhA03LihaCwnFbbAlcTPCAGkJ1+5Xq6rli1bMe9ubp/M3P3Fgl5qCi0j0lx
yVNGwCSpeRUkfjiAF6OExLi8OJoljWTip3uAR270oXSLMlFNbrvru7OGb22q7jUxtC1lkmfbtUHI
Z2+DUbzNrLLI125NciByjcjY4drZZIZD+5vUwZ8B8Lp7q3Mc+Tz9YWWnBE5lEO5z6w24EErHyOue
3SFdW5N4TkLqX2SQH9HI3eoiu2hm+NJ4x0yXq/nT2jz66uP4ozG1Wx0SPWTF57JSB/wBl7DqXnLO
SXZyb+5wxD7KIf7SKDuyq2TJdFWxilP7GxzcL4SnCO79CeabefCK7opj4OAMlOyCbEV2+66tvVvu
ldsRB0CiRx6HmLPDEkKU71sQ1lvJDpfG+FYr4jPFqXQxX4TUD5bWXMQELMx0KmQH3TUfsktRlJfU
m49r1Zmdy9Hw1HVMuxcKqx9WEjz1YQUym8UtgZLncs1d/zL2uD4SlZ7RtzSLkwrR7sPsyemqLf3Z
ajeO6Vk13An0lbbvL7JEnCn7o6LvvJsesp1THN6k1RwarlcE6Vc43EH3vMTO7JXxUNX1fseXj76c
tL/OHzVo/AtkjkhzL6RZ9wv/REfs8Zf/4Zfr8atZaa1117bW2HC/G2V6nn/yEPUvypQr4jrYjPqQ
CSaau2jW9Hi6hFxc7Hu3QHI9VSNXxNW8MBtvw0ncYYQj74Grzqzs2Hb2bh40caiogfYrqsk3j4QQ
S98BVjggzdsVwMcWzMo33CovWDd+GaxdUKDqjb5w0pyoE64yHsBKOMM7De67KqZ7zZqB3SzjTg97
xF67gXQfBOT2mxGZWOM5T/c2SsGgVCfVkiLi+aTUdaN8F7a75xDjcbRLEDfACyUbiJSI1gi2JQnT
BPsQm9VaVyAM+gp0RW379p1GuzCuu28lsRCOkOcmFWsOog+t0b6GtKwpIcP0CeaznAAp1XNMH43G
3tbOcE0tCq1MH9dUwT7vUkCpPguH20MxE/GFw585ly9eNC8kHDWGTQwfCGUuoMi+T2+Dv0oL/A/G
IN8qVdwF6fg+Dv25mcDr9IS1MHCQFNvrxmZl6EuE/A0nXstwG+yKdEdpYK9l4xnw4/qDMgFsmZbr
LYixx7ba91c7ydx1P6pVjg1m3dnym+w5miXh9D4RsoKC2F7he9z5bBPWUThDVAz7o4rynQ05bO8b
MliOKWdLB/zHFBI5zOsB0r7lCITvBJRkfSqUz3L27CHZZN0zcxtaTGoms6AdgIUaCnLTxaPoWeCa
gt08SrbFUITmAgH4W+JOYu3q7C36EDCCWUpEKwCcjFx+BnQl56e8l1G9JTQ967CaEXFFvEvA8SO3
QwPFB90KC4irwHV2jUkYqTX3s4/M8pAa1arsODBoBh2pDsyjPr0jkRArdGd7g6rvaq4YVVmxgUZM
PhehG/Q3v0+wCBalgV+JqvnIEWBdcNOW+NmxocHBw+YfvrkSWGJi1PsG49lyDDXavU5nLWXSqguC
tFOcTLucg1nZoATrow7liluhzHCwMU8hkindNxZdSbPQRKI/2gEmH8w6wKmTU2MFLrSY7rsgGQQw
NlvPCtTaZF0a3dzCLalWBS1fYDXhDyfotvOvPK4PTs7WRBqWe+cTpBElyQc9fxcbKf5mgCYjquvq
mCWs+Ggak5QFP03Pbmmn6yjHiJj1ydV30qsfSdaqdStxpCQaKoZYv3jYSReyaNjfTRw/YnBkCwyp
vIoaQj6Gt77S0uCOVJYRyGV7qMkFX8LAHdauCTFJjfMRzilXxXxSEp1L76KsDrB9of/GTN1VRbgV
yJWQnUo8macGGP5cH6wrB/FGLh8SZAistEqcKh3SFQ6Vn5Scn5Scn5Sc55+UnJ+UnJ+UnP8nlByj
h8BW6/RaKg5k5cBJIpayWjZp/tZk2VGxSYZuYTYL2X1UDQIPgU2LXmB4KrVNU2RvymVHLNHzB2z1
56Ob1JpTQV615XjbOCHJS06c6WLrS6XGGk8OpFyHEroh+dC8t9cDsjZg3Z+ejigvr8UP3xx2sqTW
41jVUvhpjxItcRaVLCkCkrKqOpsopp9AH/x8/6tAH1om1xnRurQr9RKFyZs7xOfOUdebhYp7PtBG
7UdSYfIbxpVT4OHivEnq1kc/sc8yimsVyWU6g8OHMfqydP8684CMaVx5qQs6DnTJYO7wwBzmc7Mr
jX1JIvD8Q/qqvKDTOMsK83iXfvix9+M39CA5zto8w7oBVqCf+5+JIlT6yeegl3i5QvtWTuPHoGOV
aL2blWqPzgFb2Xk0vFtS9EDSkUdpYUYbGpmUlx7B366huIuaMFu/v7apdjN0YuWM+BxWVBoCqsaJ
3HqoYQkqvMVB8FWp/C3s0yOZg4gcm2tAzm6cHF2YuosmKt4QuOwyCeUFxhsP6PXXVy3S6jl3+aMA
soiDYzlQnh3d+K2R/LLzi+9v+7kBKpR9KzBbzrDkm6Q1Yb7mJVhymx9ou8WTITsU8uHeg4uLLesl
isH2OZzh56IR1SEEPM3BFy8WutGwjveBxFJrdddGAeyaX1pXj6Ec5htJn2r+c0GRYVFbEQaKaGmX
If7PbNVBy2UP7pB3+mj03Yv04zdbG9dja2Az4+jgzKNo/o8AUyxsKa/6pF56lR9hSgA8YpzVtIly
hEcy/iIc8qWpGPgapgmlAC4JxK5uu1LDdGiY6aIsu+gu536eiI69KJgopfE9Ik6Go4HvkTJbm4DX
xNb8Ibr47FM88XP7ZhrtSxoCOhzzSwpjDUcGLYJ55E/OVlXyseooP0TxF1igL9kckkkuq4JPFAll
VTPYZy232ijsnUWhjKbWFwkVC8OqvxBQnFtfexTRfUOpCTfJS+C7NzVlv7xFhdYeG4gSReDdypDm
WqI+hxKoHge1uworQp4inTf0fi6wY/oq50OK2ZdfFnFXXZAsJycdN6qkj5eRlY4gCYslWgy9ql5r
r0i2JZGMFYridTdoN9D2V4Yx3bNg/JoCwC3DHO2R7PwYwfwAtTUqad87JEop8eUb4tnuAg1/Skdj
aUImaloYKbCbrMm552BeALNoOAPZ9EZ4Gw5lm71NsZauYFB+tU35UMQ0S+2MlyMcLc5+dEk4RlJv
pHy3syVGUqzKsACHRRoH7SVX5X1fWUc/y5cQz/JVhFsMhNQiclwHPAj3w27odZQNzfmuaG8hTROo
rVctafmh3HYwOwMF+VcQ9DHaN+15AqvFmAKxK6jQlLpxNoX6KuX0rXAt2hgmvGgyqI99mV3ygiTd
lDK8l2K9MqfTlCTP0qSgokZ1dlEMgWRElkznFNNQhOBzwgesERjd5SY258lY6tTrQFoUqCPIZKEw
sCwj97XMGE044fPKe42jFwRR9qryqTG4MNNcCzLAgJ6gsPdlpYEQCM/EbG4CoiCoPGmAqQdwBngp
CZIa3uu2OdZp/Jy4NA8sksF3gXRP6UR/q0qeBRgPvO3jE13jhrYlJ1T1lQ35ZjCCQxpOcDW6TZSB
KRmaJ3vQ7+RAklRm5K9K2itLn75SSvDt4JPAHNGaiuDgNy2lHNH65XKu/TQdMo6UI3FFjU05X3nn
rTQQJSvPa3ej0Z+DBrdGiEg4pXTkTt02EfB1vUCH0KlWJEkB6I6dpyjfFvayMHk1jbhD+0TwrL2v
+/TTbCj0acaroVHAUQhsOtqYaX6qHPLconxdGu2KlLcdA4BiO60FCVwKtYx9yPhL+qUJpOEAX29t
FObLmcxTFdDXsFC3fmetenAhqVGfjNH8dIlhxb4fJM6PVikeKm+xm4c5MQURnYgguVV2ji3haprq
mxaSdRR0yH6isTaWC62ONXoGVO9UVRx91xsXfhh+p2BItHB3g/+27A2qRt68ZzJncSatjUVdznWz
ht+KSmOIOpfJaWzY4QqNRm8eCtu6Nr5+SSjMEHTwkvdklGatSYIt+aOoSNOzYxC+JuOb1aXP8LRe
xjoJNwRin8voyfIxpJviFjfawsOoMpZDCHQjvvhQAxeFM/Xwo9EDxJ4F/bVLvHt3jMZDWYmPgVZj
lZBI5mcbhFrAMfJNOxR3RNfp69YKnWUf0EaQqYi3VZoA1FR0qyiksp9ri++ka4I0ahaNNaKD90gK
iLR3oonbLHSXwWOoS7jgHlArh3qlBylwLeSDD2iLwLXHxgve9CxFfx/BpSAT68kfcoWgxLPWAQat
aSquU+Ra6zZFgaJ73gpAS2MAUqkhwNFfowHjTrhHuoamqC9hW1zt0FPMF0yYJBArzMM7LLMBIw2L
M6zpjQ07kDBfsRg0hdOc21wkMBl6ybZ11EfCXHJIJwaBbmygymUkK3AJ9ImrkGxBQl06g6FQjVhn
YTSrPUDle6Jfho1dxhnK8PxjoAK06RXF/rHDxySi8FIR3nOHiGfjgen2Lfcl8ux+WUWBs1FaszMk
TFXw1s911F9VLSLC6uUSI72FHawhT7NiRnKC/KMnrAJFs/batoKmF+nl5c4e3wYFgCMz0vcIWC2O
CnhUvnnofUYPFep0BYoV/7aFFCpda1J7rULk5/HcXk3FvZYB2yKGWg3mp6ymdN+Y45PjocmOz1J0
j15CFpqNEnYxDdEnCQVyPxZQpEDs6c13Q69Obq++JR4VWJByAGmg5O8cUJ5N8kCbF/gfwqMIcV9q
Za+tRRBfqNTjvD3KKPGa+l3r5Q+GqXY5rEXylc9j1OHpx2kLfa1cT0y4YTd9i0OzX+OARrPQZ/d6
3dR34ewlo6mjer2nQ+ulB8S258k0jk0Yr8UYCbDRIdVA0X5OyXNjaGjVPZYn0e1diDN3U4TaMHMc
CqC8Y4MLzrwl5iuM0Mn3/CPyGeuNIA7MxGGxdSLmhd4C2ky1H2sOmv+e2Qtc8Ip4wzvildiSoAfD
9nW1JZXptmUQ5lnwBg74ZLS0YqNx3E+Rn6w1LxIYF+fi8gjVhmVomRVkqCRwlip3WNFXuLmIkRf6
OAUrExIeRVykbyESg4rNg5u60XbA5cob3dkbQF+4+HPZketBEboOoi0C+EUBi13IWt+V/fhu85RG
gc0MlcarZlbd8n9ffLz9LM7v2Wfzn0GArFsuQljk1f9CgLypI8By2vMnvv3o/b9s57/9Xoz860/4
DzGy+Q9PeMxAjm5JiVr/f4qRdeMfJlEznucxa7GyG8hz86L+RXGMGNkWju5K10Ue61rWP8XI9j9o
rkIxEzoCZ8+yzf8rMbJhSM9whTBs6QrDNcTvJcCeaDsLWqNGs7LbzJv6lihyhZkuEsG2xlKbTnuu
nQGKQU1iQUjQPBDw8Jsb+Bea6FmR/VslspgvwzJdgegTfbxjub+/DM1EYOT7XAZYHFK0myFa5CDB
VrZWg7XrYJ1kGpFDOMcfhq5d9nSVMhEdSmPcOn3wgCt320ttY1G6UG3KLF7vU/axVmkdrCHehdYM
FRy2ZtLu8uSlCm2is/2XeKjeZc2CiDSSPhpdbIS6Ul9aOSmy4lcN/q+D5C++Iyrxv/iOPE6DGHHL
NOQfvqMNnmPyPdbhsgznMPnF0AbgojHjIa5ERIsm7Ruip8F6HtUezJjblnAM2TW6TwMBRooYGBu5
Gzu3X1/Qf3ll8wf/Rgb+y823kY1JhO+o0Kw/jIGkrcxA95XGBOAtizDYe2EC/iuGeCbWCDUJe/ib
x/1HCbxhMLZtRwgpGMzuL46Lj/crUMXmv/9X/b9ZFZuGYQShBHtl2xsWtLlPD/RDlH2KBF1DSn5S
nXFzuAvJpwvjSPBUlcHevH32K309mUdkzl5+AeRARGf3GJrlRouzlQ5vW7SsoDQ7J2+XVkflsdOC
+0/I49LU8CmJ7vLvv47+5xv4+6/D21r+5uvQaw2FKfk6rf5jQi4HBmaZGeXBAZPgIgquOuROyXrC
o+XrOgvgZcLy62XtQtLUhTANn2ltjP/h+viXz1X/g76fB8t1OdhWPM8mUMib//031zVZFbbj+SiQ
6NqiDvOTw2Z7jGDD2KA9mmoDWARJq7lKON66Y7bCD/A3b/YfzTPzNeCcEBa3l1kLE8Lvr8GIp6J1
Bk6NSLc5GcUTDee6ptDkJvW3WQkhhnrJOfIwV6CSorwjYN4crEe34JjF6mZ5DdnQzi2c8hVE/zvp
eM8Al7ex223I4Pu7l1TX//QyOEQMCWLlDbxWjveH64UbXkL24C1VHomMekgcfHqUCKkwv69R0pw1
90ra1zaPUNBNGtk/92PVrQoCFToNUhHny8RFh2D8mDzrIUkhhTT2oaZjm9sa27JwK0EJpz66RPs4
DurOdZt7tndIvmG4AHyKa4U4LF5mZAuYbQvIYaCSly2AEgXbItfYerebLLMOCRMi1KETSDEScals
uPx7RA4fW4UucZ4KKBHsa6n4cAijWteE5bblNWp7No/M9r2b7Hjpjsk4gatq7hVcFLNzHzOfvUBH
AXjy0QTULjuLuqmudfmo+ktcnmLy6JHn4Gd2cYNxVejak0tWBKQTtvXGO8ZetWnb8g24wndMb3fR
0HIX78PJuHP78ltc1vfp0K34Dh+KaKmoC77sEFJHPzyaCPdds9knWrB2O2tr69E+AfZW+qTTuWuA
SivlOOxd4LUA6iTySkdkmB//5oXGBvSHGfG3g4Dl8feDFgGzT48KppEFqtQLXi1EunaaEsxmPkrY
cBaf7ROHOav38d0ewijkCITQQlWf5SSRW2bFe6eXu/+T65otf1iRcCj98bpyU7YKpBF8LF8+9ERJ
i9PY30tMGsV01up0WRgL+8VEwyu1bYbljzGcCA32cXaMpyH5m7fF+ouXBV+asKn64WOyf3mZfjPB
NIHlJL4gpMaGx2PB3XeGKaDwEjzZPKG48fEhK6Iy0PmbaFyTvYc8YhreRvuH5ilkGrBbPBtENDCD
vAIczzmNDXenY8EAXGWF69q9qzk+PqKkYxafuPWm/jAJ+Rp4+h3bXNStH3aDijQi4dFA1iBygqKA
U6AN7ZPT39z/P29TcJH+5vv+YUJtlNPivWOlhIuBuDmgjYLDB/RVDXW14FiK9sX0k1OEHqcLOtBh
b3lU7lUb30UFuRN/czl/sYxyOUyv89w+r6O/H6aKxSQhYUmbI982fk30LPlPLX9PwRzMOUAVa2qt
zDNEm7VhlueYcTsr6//9dcw2sd/vH+a78s/LmC/zN6PAHmNAPvNlOKRBC9RQMVgMSNk3K2//Zufw
1w/gnx/1h5U28gIC2+dvOCXaWnYUxMx2GZDT+O+/0S/b3j99JWkZrFg6v7t/mAAE2yXSzeavBAyk
DhTa3GnepNh4y+rIX9Z9sw1sjRAub4l9CWlMfxGhtUr2aO8elKrvLfljVBEKu80AwfjfX56OeevP
99yRArci490Uuj7PYL+557nnIzXqCab7mQr8MxX4Zyrwz1Tgn6nAP1OB/39MBR7anNjkBpF6Lu8E
9HiS6vV7w0GfrBTEO1WW7goS7UfsOGxeEXeqZR7YP6a23Dh18GZ09bgZbMwSjSzuM2BJbdTTYEVk
HXnU/mOj+ja0c7PEEdav/p0hOVWG9YZNU22S0N5Tmn5PQf/TNE7FFu08eZrBhSRFdxXXBCXSgX91
66FdDa1HMlBcXSTBTicJwBQ9eXaSjoKcewLb4ZMlW0G0L+8jKeb0NdJ/RvWA/efFraQHnKP+PhgP
YijuU5nz95FGUwvFD9kjkLEet+NW1StSqIh2BlK9L92owkdaFuhtC5dSbtTOXR4Oa+W3SDMeFApV
krhIxSu8PRGhctUNY8iZkAIxNWh8PgHCU9pVoOfp1bRsmz2SXRS9piyIwbCh8DH8fdFbRJQ68GfI
UQHh47aPtSggNFqI8Mn4vKpKz9ZZ2dHDDKVc1i7cQFuW78p2P/FvPNiefwjLfqsZMzpZ1KeqHMat
lAV5Yh1Fb1e3PJJ4Q/pf2buyHLGpBlBe1PSD1i6X4OYoQJTf57o4DQ50QQjRpdGNpK/mlGW6EmWQ
X159PUX3bZQY7O1DVxlHYaplU1GKihvq0rVBG8FLxkNqT/RdVXTfdU6/Cnq8HzzSY1zTOS56zJwJ
dNS0xR/gV3jXjJy0R/BKvV3+mCJck0YqStIjQYXzReNVLgb2x00JzcD4bk7iy2ysZEfTk14xUWzE
Zo8EWogPmVoNxxFfJwK38Nfs/HN6f+GLeHETP9+HLXJ42/kRaeLURETSZB6tXE+SslP5CkmyPl4q
/x3HrbXK03Jf1UN2GiBPkvr1RgbIyW4NrNCRVizMoSWFWloTuCP6zbOSX2Twtdwi3g85DRroiE/W
MKOxiUR0BM3gKCCoYKjHdEWvKSTLGv/+4NYPjkdLxp6TSEBvFXNPrM6geZo2NdSx+CisnAprG0Vr
cm1tqFZEfCy8EhrO4AuGbEfru6rxoueQPoP80vSPfWvvggl216Thhw+xS8U9blXI8a3jfrhEFo9V
+ApoduPbqBNiA6jCSHXEfyrfwrK4A8WPnaSGp9WpaB2W+a6P4JY7fc3PmL3VQTDL0frHOZwwCYYS
cwwxCJOb9Es/4fVS5XuT8AZUKL9drX+QA93HznK3sQMpjKEB3qbjh5nOmkCuTVPDEchKcAeY+K9N
RxaQkz9Lsoto76zaIXrIvGTTBtann7nvhmpWXcdLoAy6uk0vR5jps7moG3aBeCGYCSLVuKHX+KHD
wH5wcEzAxa+3tltuCRWpjyIjytdR4Hm60V7SCFvXcFrNTAs2Xi9IsIPmXsW30iwOHikjCw0csgbh
mp6l35bPTVeRkplFOA49p+Z4MVscRvXN1QZyVSYNk5HrLePO6ZZatLVm265larTUXTptQ/VgZhnJ
cuF9b2l3k9muuyZc90QVQpI6MMiPiR3eB5F/gqPqbQuszAvPaaNVlkL1NBrto0cpUBJXO/TtET8B
Vc0iPpqJ+MrCSccA7q4hF/C+GjgEk8k9ofrfDTZV1tCsCqby/FITr05L8QYvK8QRDPpmQkIS6DGi
KBuolih5mccAFjlYjJsKQFjUw7cpqvf98BnVgsqA1l6MFmG+9FERKvJduih4Y4pvVxqGjFHMVker
Ok1YpqRE4DKluJN8grJbKu9z8DuEzGBvDMXOTNv7XgTvinQb9BgVcE4Ha2Mkce7YZ3PwyHfQ7605
cIuwMeLv9E3YPwxafp4oLtPVnz71RspVXIKnNUkNTu0DKVz88p6CtjqWGWamKbFIashJkpTkDk7a
TI6yH6LI+W66PIIA2SQXRmKA+zRGzQvwqMdJM85j2S6dltDzDMpaZpaoUpov4mj8JSj0bwpxQ5U+
mKLcRiSU23qS8uxptku0UEGi7lSjk4Y3HnOH5n2YoSNTvraIWMRcSeEKKx+kgQ7moEaWCAERHZHU
eXNX1XW0Fbr9kHcjgAp9hO6rXbNKP6m5yzjl+9Qu5ZKEH2cNdeKQkZ7X58EVe9l75nSbcJr7x8h2
pnIEbRlaC72Vp7lOOcxmuKHx13OFtFbhmiQ0cC3pa80kJpqWh5Jpx0bTbibg+pR8KKx7c1ic9Zr0
aq9PPvXUiVQCYkoxzrnDvUvcWhHwwkzTSoOapBLiX6LsMowWzvt+E4XaMQ0QY+HeGbLmPkFD6s0j
LzsmVIiFN+J9147aTW/QlOruM9nJi2nWCcQgEuN5fgm/YevcCT63bCm79oBHkL7q9T1T4dmCyNn7
IyETRDCF7b6LQvAKPhCy6BDPohPkMSAJF017X7KW6o12JO2NSBJ0Mh3ZdKnzpAK1tLJwS0rI3rUe
IBaBhsl2RKzvsag75D8zE5Pg4MTyYNDCmK3JcK628USQcxBeDYs4AURUZWXucjc6jIVcugn/G1of
oVo8s7Dz0nEbgSvwYeoXbIRddZdpr6AYiOMZ24uOdiKduTxCu1YaTHxoX7ZNM576bQ9ToJL9ehDO
kynHrU1IZ4nIKEO2ZQXk7tqwJ6zTfAXcWFevN0X1jDpiIUNCsWOgJNBcFCZL0h29bm3q7XJELZwO
xVuYRgc3xYwaaMcS5dD854JLm2/mXO4f63Hbad3aNhcNc5tIKAyrdk/K9jIrp5W0wwe4B9jSUJEQ
TVIHwVX4yFQKgkmn8qqSA1XCLSDAczVo16iR67r4HgtYG6129EWI4Zrv1QlMXvmyaOsaeYZ5wo/M
hGwdukBcWNxINUPi0qA7KZp73UmPc09qCsczvfvFjLygG7Wpq/CkbG6csneemx81NzzMjy4BRZ/p
zX4gkklGDEWIovPfZ2l1Yk1nvwkPwn4DpkBa+Cki77PrncdBRA+GCqEQFAjlcAxFFSppsZHDD0PV
62iCKpsAXuqAYKOsmZMn1jAITvAZnxNpUGfXAONRBHOabdLqm9p4q+sfMc2tQt01oAULb7bALcsE
FkNLy8v3lpn+ZlVUCMUV/O1qsD4LdRVsIOeK++QTDNW3K7O7nxPFFicxx6pAOVXQW1z5kBPwSDpO
jOW4iYJNy/KjCQMuSbUdaQGkbO5CzwIQgTa0TXZRyw3K6KjiJw1Iiirq/Dj/d+EcaAQ5PiDuXqql
7vMjwbzokHQUGVmyFIhxmOIQ8+k488gKYy7JaYuCjgvh15s5O6r/Qd55LEfOpFn2ifAbNBzbQOgg
GdRq40YmM6GlQz/9HM+qNutus170cmZ2f5WlYEYA7p+491xFHmjzuDbhNfaD7VADmRibd4FssLXG
LdKX28W0Dx4QnxXUQOzHH2jVyan6lWppB+eJiXeYv8S/rRP8YxkTaAxqltkja5RchQqgQvUQrh2S
qp9Ktx3DeZjkvrG2ILO74tVas8hgl9gM6mYc4iezfCrL1tguLWF/HWl+WRXe2LJ6UtSYlV0eHfd1
9n9ClzB0g2h6xz/l7ZhtBjjtJM1/zDCjx8Yjxa80dlJZJK+wiOOEgrxzcJR3B2vbbKPUPmTlsHX7
m3aKj7ZIPkcBA3Fq7lCJ8RV29TXoQbA6YEuR/vEDSuST+NKNozLeHds4gUrgFaK4lMoF+WIccio9
nHQI5/jLivHZLMvtQvDpMPmnsBkjMqf42sEV+MNwMczdsrSnhFfZkBBom759mQqouWZ2gYq969KZ
MBERqcFAzowsMu/ODjl/kT8U53lCJGTEJ2Na74Y4RX1L9lpg35Tglhw3PLjJgDJPx5r7FC9wbEi3
dvZWXPyk1fwym94NYJJDrtlOq+ge4zmmR+HjKkJ5Wys01Zm1N2yAGam360mvbEN1WFAWNWt1XuAb
glM693BbqgbKhoEJWMGrVv7ec71DQo5sOhJV3i/+XTDDmSVz02Z0zg3YsqwUpfbCZ/YDTvUlKgb3
aihKazlnCB/t46RGEGVsqiRUk9iheEw679Eau+piQ5yPYqIoCY/1wytanypr8PL7LIvGmtp0CE4p
yUrJmCPgifeUQSPrxC5pn0pC/cCnmjO7NWA7BNbJkzn9Kb3xtDQBaU0Ew7MH68cHq1k4XGbEzXb5
B/CSI67d2uMtPsQJSIYkYLUbquC59Ydbq+ONUNW9VwecTAPULvnFA7LTZvTRZM3Zhtx7nM0E9YjR
uqalc9O4zXtLDme0IRq5MS6VG19E0bQbYTb3kkzaTczrzXWAczsH+zgVw20VAoat3Icab/rUz4g8
ARNlrjwj9iXFu1Cvvf2kOkSla9iBoFEE0fJjBWSObBz4vDiSnQekwrfxZGIFNYh/ciks/Az+ng3N
tg0eWze/mYrss7X48arhjniFunYe2tg7pTBACVQ1dpNAWA3ALYeewYT+d+ktYhN436O/sNrNrUeX
XOWMNF9iePyrYO97UzTlXi5y/Nfi7v9J/iIbD5YJ/7P8CV07eifjsS6/4uq/6p7+9Vv/rXuy/wlg
C4JbtB3+xCBgK/QvCGP4D5xVEYJTFGzaWW2wtvoP3ZP3D7sOthlmCLoxsH1WTf8BYXT+CRzLDwNT
2B57D8f6X+mexF/xw39a8bDXQYsDSMLjT0N1FPy35ZmCymCsk3BRrNr7Qli/BApnDblALMz7QWAq
2bMNjU48yU1N5smmDcC8pJ5dcJCH2pSR0IK6RI4SIxBsRJJ9+CPIgWKdSesSR6SaRF0zmMqn99VP
743KshD5jsd4RIgoW0iI4IHtZfxTWAXtA45qMHL8pM99zXAJ7bwzZ49djIYWiiMa5QLAqdm92v7y
gTVgSmEC2lrNF47z72VBh4m7+dLhNSY56abUysRBAH8bSyfyAD0zQzGu+ThS+/J5bIj2yCFqPXW1
9wn//8snNmMDNTOqc/c1tqfjNPCuUYddcjn+lh04HWz6MDehSnXJpbMNrBy8WBm4tY3jwP2oA/jk
c+Puu9p9+f8SSwuFC9M76SAbRzFBA3Xk5eFGEl23AHtNm5ys7jA3jwsdd0Rt+DMRICTtDCi7h7Ai
p8CyRna34YQSPZT+LvfiBwBbj0lJzVIjZ6MSQnQ7TztY+y/dY3door5zXB4yROPwAjGihHn84HZI
uIYRbYaV1ReCF8EVHFWaPc++yCCUQcVYvHeok4AV+LWbtfRPpIscQBbTyuRR4oXv/tq+QOT/7Czc
8II5USSLHeEMb52VXJWw/syNl+76sI1iU6uPJcM3rEdEnNbLS+Yfu7hBRmiQupi7v0FyfeaEq4AU
oyhM5wdXhcfQqYd9bNxhoODWt84IFBVEuCitqs+6MU3GFvODBCV5xFdCWQyxYDG9OKr8WrM2w20Z
9IxohH/Tmvr6GQZGePAxy2VhgpoGj8vsvHHeDFulSGH+KrLu5PbptQ768Ez8CZFCM/OXPmsbQryS
CJIIco92+Fi86UWOXOidUzZbIUmjQMyS70oiLKL+Da44/gwTjZk19HdWz5SrShDNhJUGAOWHmjyX
HYcihb5jHhqTWarD7wAcCEShIBZrNocX1fVoRbp8n6eIyA0zuCFKoKOIhrslBqILMtPepRMJUjKh
ahAPMgy4MDNu9imLn/PZRFaBTKaGP42Gf562JaMcG3Ay9NNml69TcWLDDb1mcfeOTXTPSD63jI/9
6ttHAWF74xI+GMnaPxaVlR7tjqeBzyOaecaYxFUobvqFr2+JH+OMlqPmj2SyRCPd9U8MHsWhkguf
f0NBZyW4nxZXwnDO9mP/REyNF/k1vWbY5CffEXrqvI4RcOOM3/HorqPY9qtH5p154+bbPF8oeGqf
eVlYf5U1jctI9m6b8ye0YHPqdPHhONCaETCNUn4ghF7yAYkRD9FsB6e/f7cX5liI0KMQewRxIcO5
urr1UdYxXMWeP6pJ+9NAz+neVTHzMyICvvmYcj+44y3wGd/AwyCeekj+9AaoGSD1TFI1Gdz/ooHD
7GDhlHX64R5v3LirfB/XQ1p+JSYJ17Z2odVwMoTkwehILKmNb59RoLIIbNC/dFrmR8OsyJXnP4s/
ltG/aQ9myOx3U9XJn6b4iHnR4NZhhXNy5mthLM0I2PXnat/Hs/lF8XfMVx7VfIlf0PRuR4PhUMEv
F1P2q+2XR6eu7gjOA1FK7GbgXGNJARiAyIEx+JZN9U3SVnepRVazXfxam/SPBuI4PdnfkOAC33qH
vvHX+JcEpKmQWrAnFu/HWqnguxbZvSfi67qiU/OnsIh0n+tXP05XB5s8LPhY8l/NwjM7Hb0w4UGP
/cNMPsTGBwoL9SZu6HteS6v5haYPSpBi0j+2T876WCrgrfOdU08kVgNMSmzaQFIhfTKcGqzLonCO
Llh6sJayAimJiQRe8TdesySqtISUVJR3tkrPpqHDTa253IQ+nNOiU+EuliAOM+T0kseC8zdWBpGE
SwIrj+lA3qvzYgb3NnqSZjbyMzBZHSrLkDWE7Gu5GMMmZIBRtaKjZ0y7Vw+o9l6Uz9jUT7MW29IQ
Hsl5vEvdeytW68GNj4uDmTCpH2AvTyRcpRnJgbehizw0SeI7Z+pI9AIbRA/CUIRNCrPU8hfK5Iyh
TbdNIKMSFU03j+/PuW8d19/njb03bXY0bFvQCiY65a3GrxaXOJQ8kLROGhQEzrvlrrOJRbLKy0JS
H/jKN7ixv5duwMAlvRU5KNaEfMo/W+OEu+rWSWLGj1m6415CuhinV7qfG8f3f/dwCTckp7CVGlzw
PHHx7pLZhIcvGS/GsE+qo9+zgoFphPe02OYlD8LYF4xLTfc4VS9N/7sUMkR1HVq3Y/8Ccrqis4aF
JOfZ3nvseaqF28jqmaCMLFNoxVnQtcUX5jhsgm8dhtRM57DbAkRXVvvXhRnydlLuLVKbfVfgHCeG
KiHiMLsSo40UToJi45q4YkrcgkH8cHLHO7lG9wWbej8lDdl2NYGzKltuCtI6NkLT+9qwvTW5iYWk
XGrqn9gQ66GiAYrtn7Zx1BFu9cgmxBHkqdkP8hcqvTDC1OVGwdRe51ipLU6f79iicSRCkzccAyw7
xn4blkcrYMjReG1Hqvujpc+Ck2+x7yxbZodgSFlb9cRDkVxA2p/cVj5A7bauT5XTQbS2+M782PXO
HAfkToC+S8rk3aGbo3/6TB38eBMpURbtZmgSOUTYy8FeiBdnd2QxcarLo2aR8bSxKrC9HZGEzbFm
dD4DrpxsDwT0WPzkfdJHqP6lZlwu8dmZfjKmTtwtFCICtTC7lGYXgsdsPl3LCTcQtfCpUp0WjHYY
a5UaxFXa586vGP/LvddB3TTAb1aawzlTCXUazKkJnQheScJJXKCFGgI7ZO8kmC6RpcmeE4hPNnmv
Y9HCfdXwT1JU5bVHkRWtlfdQa0ZoCSxUaGpoBj60/8sR1URR3YTPmjHalcBG127eBAw/wBLemeBI
DUFatD0xFTM1q9TS1NKiNqztvaVZpj5QU/Iydt2SXqwkfoPtDfUUaNjG4Sl7FZjdcsSwEnB2RGwd
oFKwqTWpk7sVGpCmBCXDdCsGKW8dn8Ox8sW9ZczbsV3/EPrMHCXzzXMPoDUD1AopFf4z6Na09p5l
nmmgbHIVDtGQZo8nodfEV6NhhCVfgcwxVNWoUpOVbPlRA4r1gYRijNjitCUsvjmmWXzwAcuq7HUC
MyvBzYpUvtaaP5unkGhbzaSdMu+GO34nNK3W4A1rW/vaZg5BGvwD+SE4lslPAnRrtRBv+/WPrQm4
5ALtY8H2VSjzq7AwPho1Y5UkpgAEoGsB0p0MEp8R6Dmb1lX7WplElWruLoQ7CEyaxesD5VVZeq4R
aG570iDjn8Z2tM19trfscN+KYngzs+ChGOVyikmJ2gw9X6XKTtUwXipyum/cIb8WScAIbsZsnk3T
DXGc3mGdkhEuHz0ZbOHsO9Sk4YnHFHun5g+PmkRsgCTGvvl70ozi3wpcMXMwzhG5rzTHuABonGuy
cQLieJ3IJsdF2O0czT9WmoTMSSpwsENHjptbM1j5MGIQuw1hiaYRkyFK2g7JhnD/shCUr/c2a+qy
AX6ZMjA7TdxcJWBmDv6nSpOaC5DNZH8eWguGs5dlt/Iv1Rm8s9nljCTZ6/Fm4wu13L1sYEEncfDe
aDp0CCYakBb5TICja02Q9kBJF5opHWi6tKM50ysJj2kNFxD+NGtCRJLXcb0d7WfegvHemoyDa2VQ
q3Ofpb8mWTsgrQm5omFkvSQ17Xo2c7yBlVfB/0CgDQT6qBviTFOyixBQYNxBzs6adwuQttJEbXZ3
vyDe3QaatQ0IscMTPTylmsPdaiK3D5pbBBQiK+672L3UdmVHHhBvc4DmnWuudzbcQwLWwoHzPIpL
DY30iAWlI9kS+HVgLHv3vcL5TFYVs8xK08Ndl0QOfHUjGapqauGLyy+7Z+81hpJDnFMJEHm+6GG2
Q5NbMDO7ZGS1QSK4c8WLn9AEMNOcIwnYvNOE81WzznNNPS9nBuJZvFxbO2kPfmwcs1Detc4cbApN
TU9Gzkoo6oXmqWNWSDZ8Yfm1CXkal5RMc81fL1VMeE8NsHEo8VAHDJb7F0y8Pw3odtJPdf1cvv61
YGHJ9zTlPY6ZnRaA362/BHhau1Az4YlXIb5Wc+LrLmAwDTke7C8q9JIGaAArXwDbU4yOj/pY9wDP
VwDoIcSXDCHVqR3ELdPc+qhaFnnCXZqdTHhlzfC8MIHVWHt3vleac69Ylm8oU/wTEXxRpmn4fKTb
FGm2puTLEV4+Vb+3FT4KzFDD9IHqL5quX2vM/lxew/HG80kFT/hUrMm8KYAW49205SbJGtawhrcr
7OeENRyLQGj+DVj/Arx/rzn/tSb+d6D/SftrZjb4zsLqr26fzfjSJsUhX0kMKBDf7lm6QzPNZrZw
JTR/rLos9XnVjbcpTd8mnUBAYCNXyhotRBM0HRkFsDxp4ZLXJau821FDnHFBWbsqyb/wTF6Kbnzq
lvLTUAV2cZ2CMOk8hEAnIwx0ndysfwxQoLZrvbV5QslaIWjyfYI7/ACj/ULuuYJXG/jDU6gzGFSV
4RFdoHHgW0Kh8lwzE2dY0pDWZ9U0QRJlS3mInd+uTnhQcSF2AwUMOaUdtRISKHsBDzspVn/hGeZr
NW2D0Qtg4iXf+XKhClWHKsaUkvXFXUViQ+533RWFBv74cT/oLIqJUIoyQCnksv3C9eFTcOn6tiXG
gCgLUgZUZBNukQGxa3MupbB8tePpztYpGC1xGKrmV4QEZHgEZYRgpve9Kz6roj6vRGnkXcoqId85
RGxw3u8MwszJAfBeEkI4luWP+pvJodM5nJGcDqUTO0RH3A1sAYI8eON+haSEb4uwtC7zwppmbbYk
42KPF6PcOgIzsWH9wBa697pQnStYISEBxZxHpIhk5UWFSYdRcSKAgZwRUyeOCN+d0W0b3x1hJJPU
rMGqowJfxYdVsaaOnWOasjNddZbJEnSntTUfekJOVp12opIDYn/S+UL8CclY76aSD2Cd3fvWayEv
0xAT4IuWIcE5y+nLqhIvLV/zl/XXXKu7a+ZzFNSHxeurna+NuJSERGxljYdHhqRz+DrpocO5C0Sn
ikKPt/5JIlvwZfzjV42IXA3InZpjS7gI/xTGPLgNMogzPOUxhz3UgVdnbu/yoDJuA9U1x8peyJPw
SWFrjCaOgnTEClEmEQOFb3bX7Gj1d1/3X7mTtTu7BkdgBM65y7sPVXYMRAdFecHaDyVIZLoG/Zp1
qAb1Yrj9/BI6ya8uZbVZIrpxJMKcIEFqRqHL5KiO92OVV9tumY8NEF+7Yhg5pNgJc/z03jiu0R7P
+0c4ChNHFW+TWa9/GsNDuuRYzzzAAfYNd46gkpxa2X2HumghwPAiS2Y6blOaG5r/H9De/MEGJsph
TE6KZnCozE2csNKbvQB8iEd9N3oYSOsWVf7A89OELPM8LhhDDfZtt+6Qym0SYm7LZiDcubEORWJf
VtV4p0qUu5VYiajCp7XO8k4RndFqZmjq1ay4mu6uVh/89PTEtfEaLg1hWav702DEi8ZX31LpNotn
Ea2AVSLyxQm6INpsA20EKw2qQ2AAdsM0q/ZhXreJvK1U2JwIfb54nv0mZ0rOjOTdjYt1zCrq+9Wo
z36I5MxfgUi4bRwNAVqzZt7y9BoXb+jfJlJGTRLFUiyuhEx1hIStn03QUW0lFGFeta9NmB+toDQw
jtZM8TnS0mzmtXYObi5fvZ6Jjf0WGyplPZs9ViMTTNKkVwQFwGqs5eBUzfqa5HjV+Pr8/drO+0xz
bUj5u4YSRUyZwYuithuz/hIM7kc9zy92p20yuwqiSZBn9zW4nXNuN1Bl4rWN+tgmiE5M9E6CYBg/
db+JX9yYdcPCfpQ/CEevC/lim2nqi71yEmPX+eSmuCBdL5IBiQvRHC0UaJFa5iBkUIwFT869Hy7E
amcQbFRdPDPGybeKygnXYHK0nfLVy9cmMmhrIWx9DF3PptllFjnXKxszQcqaCyncQEFhOTRjyGVG
J2YAuzrvw5Ce6Ul7pm3Zvq2HMSIv7XkwyfLuDCLzwtV5Trjl/wb1hD7BjmYAz1TM3yqg9bKlnJlj
ZdcOk8wumBdvW2GeYo6zmNHi4M9EPLT3Mp/ZnzlQt5EGWpa/+FmQKXpVy2FX1ZGDCQ3/KIK2mpkf
yaOfZvCAfLOIyD1eDwCPK7ARFtvK5Ee6mICmcKzv/eqUV/CyK3a6rNWgKBtp/2d0SxC9RcMb4vyu
HUp7DsSfkIsfnQw9kwejPwyqO6dwfjwy4c+5Z9CvEP7WCJfbxccg03PDJUvX3YBheLb1zBs4xKMk
SuvUrjddmQNwWWVMrZo9ucNrSVrJprbreZfiSRM+30NSN2hvCu79aUL0FvicUKGrZ1jtrMGr7rQL
1ynbWWWISVrP+2zyY5fukPn7MDFh2LGzqq2VwzG8xTMj7uHp/ijDfSO2u4PH1FXHbqFkgU/yWwhI
8i14XtsNnssYakIn121ZayquTYHmF4hT4UOkJBARa1H8ShZnK53sx82JfTICBt1/f+iMNXNF7NbW
hB4RkcOqR37JLmsMLMe9AYQmW15odiBhr/ZtK63pbLq3pSuWg4gzTEW5fT9YkWgVvvvOqbetN/5e
DIeutePjyMLq1c7amTmt/ScbPa1w+ZSznlbAaa9Y/09mjhdNPtQOpsRKYZgvwp4BZEFL/FLB8n8Z
wYqRG9h/m74RlYn1TD79ZTKH17ChTglyvEz51NGXxQwVaSnMbRLSNWdVvN70qRkFcLZTJ0xue9P9
YxY++x4Zf6MIW3eYyTlAi4Uar9ugBgT5l5XjlvwYDq7+YC4dNwOpN55lgkKGGdUILi8xibtSFMeu
lC+JOUG0MFC4kMy5ceeK/OIlADhS7ZcMu5wxpuJkhQT+CEbAiRG+ioz+w1OcTnVhb5OlbrYGK+C9
sfAgxXEY3E1OYx8LBzwQxezg0q8vrJ+RB9sYxRgl2izxF/2INQqwjnEf5qteaBUksZr4vdq5tw4O
wuRMlRej5zZMgtbcT+yk7Tkn9idXJ7tyoU/5T3HY9ZDUfA9ffovSd1QiCjPiXtHZLR3Hg0dI41lL
g1YtfckHOM6OyRavfHWQB/iduAcck27jijOMVSNSpNTd1dV0zGX9oczUOFNGZBTntmADIprL6NrH
EVHhYhAFEQRh+pg91+4y7xaluq1+2o0MjyS60eyaZf1bo5BSrb21M2RLjTq2pyXOH5ukO1Vdes1c
7fEvUeM7XEOLte4GLwDmFB9aMz2gBXO2cwi+3Pbs354IkOMvX7W5nLy+sSiF2vt5oLfqemRmS/4c
dLyyvmxu2AfS3is6adQpCA4s88skCoV17K71KLRHhzkn0jUAWnzKFE40rji/SVpY5l+KnpOTDYWz
F1ao8KoLEu7lIEWg09G+Q2eVW7f1DostiSxFZxqzao6k0X83JoP9PlfIskebPWvfnWmDLHKmnF/m
t15tkCX6wLxtikwiC6Jb1GJdRaM1ovUhBw+hkeE+lJufMBPfiZN8dRLd2RQgncaBjNkbEJndICpd
Hb+OAC5GsRxQHa0Boynqnt7L2GAN7XYpQvqgymcALdS3kqOKyEB/jGkTsQ9M33g5yaPwB+DmMn5X
iv8bBQgbgNaNyTpbr1NKrYRknG3xjDp9AXZtezfNZBeXOoMe1LoMQYO5JaaBGytbb63pYzQYxDll
/DbucNNCzyA4YKf6nmGx4baP5VzyeyGeiS5lHOLkz5OrvnwWQngItfqHKhsuaLBpzGn7M4Ifp+NL
sxuUxht3aa2jZyGM8eY1uB8QPO+ZRkqetyi3jEdTuMa2GDTcxyT2yn8QKQNzWuaDzBhhDdaOeQRU
rwp9sazzl1bYH+aIInHOvM9mRHWd5+3GbVexXVWfkMTBAdJ4nL+mvbDn08VqoeBQFSECGZ8dWbBS
3TWcGyC0WBeu+LQJ2T7maU/hqFeFGfUBoxpdUQA+2/HlBttmqnB4TPFdzGybVajWbeKcV0VwXfwT
mQU3XpJem7QVUQK1flcYblSEA3o11G9sIbSu/n4dwe/FggzCLLMerDVwdg1K9LMxPnfefec1w77Q
uCdDop/6q7L4X2lI/i/C6DimFm/8zzKSzZdCR/KLpNH/nOP5r9/1bwWJ/4/wgUeENpGreJxdFBr/
UpBY3j+OQzhDGACnEiL4Tyme1j9MnjHG22bwb5XIfwhInPAfEeJSJ19U6OTP/2WKJ9qW/2rBtRGj
kOQZijAgxzP0/nuOp6BRd4cR3ePQcxr37iRAXImQ7SezMvQthMRP3jujOJ70FvZ7H+KwQDX2yEvT
bVTh73D4R7mQCgSKuWXA0mzdxrQOMHR9MpnT8UDDBI2fugSjgdob5nIz1gagSInUTNA3J+yKC4by
+UBGJBclIylwZ7MyX43Euq2dyd6R7eCwKUufpOG8DdVIVJyqrikyE6oq0odWUhI990W0TYwNw7W2
RV6tW+Yqb2E5YcXSfN9xsdhVfZizvaIxQFi+tJ/2QP8y9WQ8FOkHeQxgEtb+qKYC2CQWnG0YZkeX
0ZlPcAXKGYBmbYbXaWLBpGyI+TEom3YdvpWTkiJEduIl7pZHvnJkqwMJGb43wauy7YexzDyKRQ8Y
Tlie1y3b1/FQkjpJVlR2S5u7yfJsV7SKJZIPa9DWETdMb91QvuSeanRJdLEm0oFCp93KAfIa6p3k
obJfrYWeHlgWR4g5PKwLi6xEEZKwuM5BDuqO+APu42ygIQFDhPCn3Zeunn32OBWILOq1PtQnCWaH
JWrfxN4NdiF5MBuU/FNoPaA6gJRqTofBNp1LXYn9MoA0rZEMjcz4N4k93jndcttnDDe7j8Shc23F
Q5qRdzF36kB3dQ7qLHgS/ng7lI4XWTPrv9E0dcPAf5l5+8xNd+/YqrjGzLIAJKZsdlJrE5Lccaa5
PsM4eVFx5jCDZxMjEYES87Oh23Z31uiILRLyjTPk6pzxLG9Hm0mhaTgD/T3y7tm4UrGkr3hKuCnn
IaqNKT0OEiGKT7bsIUtYMJG3AMoPitSdSwTbltk2iCg/3AN/QNk+JcFJDvnj1Mz7vMd+xxDdCDfV
smMgeRv77hl/DmPedrcweDVJUsScwZKC5nFDM0UKnMh+llDTP23rFS7HoVDlg1F1v32uGdnfp0zk
82KIhKp+XLP6XmQwHTRDkjSwcjPPw8c0GlQMy7gvaGXM/rmWP2iboGVU2m43J7w86ICRun4rvb9n
yIL5j9sFlb4ZV9GkcC9AHdjWdnwyq6q8ZefDxl1N73W+fg2uwKrjL1+I9TdxyswkreE2myljilqy
gwie2hGS1pCQtQVAEbFHsmwnrzYfGeGCdmLp6PDaeKn3KYl7NEv8H2ycksix113aLqWWFD0qp3i2
zAkYy1hiUJznm6bu41sp0VrarXWyl/WznltK3UEc24b+AcE0gp7wmBRezuhyuUdX9tjllsu3n/ys
WXo0seywMwPO41rIuJsfOxXI1NmevOj/lTc35YSSDXjwylVPJIz89IKeMCkSCBd2nLGXHFOXaD7X
psseulvpGkhwet4hRv63fcGaw1uplBL5ikj6bJXOevSm5qw8OJ4zR2BdVL/yRDLZeR7av2cNp0oV
/NgjeSfLcCzL+iJNechdzBOL8YHO7NxpfG06RakREA7X0d1N/CxqKI/BOhF8574u7nrwrfGKAYke
9yqK8ZiYFkIkrubUnO7YIj3XgXueGmgjxVSRWQNfJm3QjPTyCNZmC+VjN2BlFOD4BjaGG9/uvqsa
JdQi6wut+VktoKvm4Gcuvc8qELdN4D8LOX2JyW1uPXGXFdrXohJNaJH8k0sb9Vfah9bWV9YbCozf
Eyu4koqEoEWAsJx4gtgZuuBQ9b9VaRyXQVb3aMaY1fmeE/UT49AWZ1XX2ju3YSS28KspVcbd/Oiy
STukM4RPknP5E+1FHBaSIvdu5z+bWbhip4JChacLnp2Sl1m5N21Fd5DG5slJRQkqy7de/Ca9wUqD
taJXB0wOy25NhnvTKG7cOZ4jrg1CUgOffWkKo9Udtn2AaQgpERDc5hiuaINFcjUrpgjS41+WyILE
u4X2tl6YhPEws7OyY4TZLRSqHJcXIdRs8935C3scqfBII+nitkIsBWsMVFt8bJGcy4+KhR9Bmf1r
O3bfjITM01gYt/bI2qeL8eTC3ER7PnSE+ZXxtV7wBCz6KJGBwzDR+mIM0j2SOnlc0k5eWHqEu16G
WB2LeksaIqdbyFKFpexOujNrsQRyDv0y4UX4eOu4eIsHu3pc2uws+E4xot6VLvWyXwpCJSGAEGmr
FRzVVkmGQ8LmYpxB79bWj2A+BtnX2przRdnslcqYYxcsrg6ifer7SzdX4S6np7upSTbzJ7awyhqj
vLUtxqoDgmngm8g6UzwGWJ9deP3JiyUywiuNGZhW/jpk6jkzT8COv6fsvsnCqF+a86A3uWJGpkWV
vcW3djMAtbVb1hVrPuZbO100QBZmEDnbHyn/JCfAY+GP/amyOsXQ+DOc1alxxq8GKV/ZTteCXSz0
76lEr+90Dl9kkLo01cZzm7wMwr+XY35IYiamubiryFy0uUEDvmtRLnemW5wLxgPbWGZulFegVLDd
JHbASrD9KHgAd33ZvM79yHIwHJFssQ4p5uKRHNheyk8kBamVvQLtvYzO8I31aj9rh+TMXmmvvV9M
zzdjQQqBWzIAc+zTXMbQQPulu/z9ryX8YdCfIAqR6EX8j4ToxFEN08kNGGXmQMhFSM7xwtqv9tfp
ZAv4Y/lU3rqd8w6B9JnB5p1bmUxnZXPMfLffqUYwYfAIEyNc8zSzAcvT4MmuoNVpUccorUdcH4xR
yvxCd/q7tAAiKXS9fR4E27Tv/zjjKO5cJd7nzhX7knc2ivFom3kstiLARiPcLiUqESUa5pqYHrfc
dNN4dLi20rz9MCvPYnzdbdPB/cOcbIRXX7xjUYi31FaoOhEx5DEH1+xmN1a8sFZlBLna6IKc8sO0
HLRPFJcjKNFDL+uDW9vfTc9YoijUNwzpW9zRuLwZxCONRA3qNCQfD6jxZBNzL9f+roKiy79e3aYo
g5BW7WMkSOQCz3MUDrYdJTUz/9NkVc/r2n8ZisjFWDHHaVz2WyoxKHyct4B2Mxo7ZEcuayMp7A5v
3PwatOHtKJz2YPmSCTYCV+dtbBUaBg6dJq4+OG7RaRnmtpP9YQ3HI0Mj9kmMhnFF/wT+27gw1lmt
ku33VdUsYRx0ZYNSB7nU3BYGlshtVzA8oOO4JPqAM9q6ZXR1Xlv3DCyNnNK+2U4WLrC+yPdrVnp7
w2JybmdESg4WvXhEJiWbblVTHwWfg+F8dkP3NLRLtknRaYEipoYVlhEp3w5esuRdEGzKRHp5sufx
rYgDZuwuHqwlPhZT/1waCDDdMP5aBTOYYmEaEnBUz0pZBxk2e06gt2LIKOvKXwbA48itV3Mn0/ja
Toyyq1m8ecsVZNpJsL76Gyuahd4NoGbkihz1+LOqkVmpfquL3P6zKubnsmDq5WXO22I6n0FV/TLK
6SHBzBJVwr347WAfa2LUJ2bQ5HARp13+H+7ObDlSZNu2v3J+gDIcHHAeT/SNItSkuswXTEqlAKfv
m6+/A91t+2bVvlZl5/W8lFWWVUpEAO7L15pzTPOWwHK96WuaF0mYfZp2g52nEOdolPyojoTWzIYn
jQhZIchhyuEhR+UNWI8Vndhwlg+Yv4eDXgyUukdHl9kB/53R5Lb1kgejY/su8+JYWt3Fcfor4/CN
wyTzzs9RNo+D9VaHhPUm45MXF8am6sabQNKqaWz/IpL4g9Y1RVwf2SvX169x1jzS2Ui3rpVRnxNk
0LrFKccumNVgoPOSiUYYHTTceDw8mnjXEaI6OtW1K6jRnGHRgIzWz4LAZIp6tg4D8kGSUQsjvFCF
GZy0BeV5Urc6MPENRozp4qqON4aX5rAgvGMxkbgxUnTGops2EiYvJAQ+KBbiXDA2iycH81T5KwNp
iRiTpq6DthtlKdGApOaym8X3o+XcgmL44VTuA1px1I+Q9Xl+WMVHyGQWTR6itI9VCMidliUPOyrX
tdZk8mIuL4KL5TT51pqLm7LX/X4kgXBljKo/towPHCl/SRtHPJx/2u4xjj5iZYnvVV3Iqzq+BSWH
FxP9GmPuXSBL4GbCfW0dHhNlVc+0pnadT9pHJV4KxnPfDC8msdFEEDFHFDvRpbD0rQ0pboA5n036
HD0VFjObVO5rFV6G0rhxo+RWZ/oW0cQlredvSBVol0NYC7PquXSHp2T4qNI23FhF/YxZ9jIz7RqG
4FbiGWWD/W4UvKB9c5NLOAgqS3/5VvMc6ObgvImJtz/0ku+elK8Y7TDpVvd1RleyG3ZzXR5jG0g5
F2A38S+aic9zVcEVrXe6Lz+XufBkp8+qfR/gOeMqDX+hcjW3ToSwZUQkOkOp5/FdQXdNadNl+qbH
eGjfS1BdD/OITlyGxM1PV1lpWgCD/hjQTEXAIcY+oZHWfzYlEjVNCwEdjP8hsMERtfC9mfU5UOXP
EWn2ys5tzoCiL9ZC5XeD7RMZWT2NDasEaYjZvkzZrO4Tn4F3nzGU9ZBmkiy+nRXTChppN2arEect
BtJpwpfHS8w8zQV9LV/NgJGskVf4nPv1YBuo8eKCED7mvDvbXfdqQo6Yo3iTEDHjNvwQlJdW1Pzq
ymZTmAPa4ao3NkOACrTmKCV9cjyKtHqyZ07RetZHWV9kJtZuj/JAN/lPf/DuqB2DtWloyP0pLYKs
O7QWj9nQRbf/q3todJX+roX23+91B+j+9/7Z19/4V/tM/uHR5gJeJyzXoh/27+6Z/YcpgLHSCQMh
ZwHu+3/+K4semW+BYQY8DYnZ+c1/Jf4ArcpPk+CL6amb7v/EfwX9+j+6ZyYX4NI3sy0b1vUCFfwN
YDcQ0M1e2UoaSu2JdIxhl9EkN0NcV00vNDSSzONY1h/csiEdA0jEVrrJzjUTQDW8pTuyRNZei/zA
kBggRB+VpzKcfia9iNARBHsnlU+hC8KkysP2QOgmaiZQBGt+Urh2DdZ2xh48pkV0KI0ZjH/WKpKr
boy8eY5sjqIINZEVWcODbu2A3hIGsAhiT9HRddAFc92WoQ5sgmNW5KtOOfUuRtJGR2LDv1ebbii+
Z250yJKOceECjYlJBUZvuero8GumPnQ9dLJlADMBx0WRpDhGyfoBYAqnEeVeg2486plKpqv1hzEA
FEE3SM8FB70ft3Jdmndjy8m3j5ocWov7bvUV9h8Nj4SDKSNR+yREtHEL/EMzo3nTcm+80DGPmNk8
horhXkUjvfJy3s7ES6xRPHcssj66u5cGfd8mtOmYh+O8djBdoNn9FXNiW+PD4R9lCybgNMeAJjV/
fAm5QcYXi7KiyijT+pL67iPG5ocgIF/CL8ZFFIjZZrBerDG0FmIuDZ4Bhk0+yyXxNmq3VokYt3qb
TJfKgCPeqOQvE7Jz6D16pIMsOz07VbG2cD+t5pJYmLaVF4KMcu6j+aPtGX5R+zEitLpvbiMJmSXU
vRUUqGHW34f5UpPH4z7rMPCWMr0YvaXWTvZJK+GNgfgjJtozyA1q1WJXT8UjKdoGwmT0r4yl4pra
y6CdWkr1a0w9kt0TivAkYujTXAapbqHS3Ldm9EEM/Y9aU4S0XUEkT1yQweIO90FSYn8Nh/KZPki7
mqdAnHAdz6u2XoJGuod2mjhnJPN2SuJHVN8Hs0D0XLO2Os4EHtvxD01E2EUzZt/yxn3J2vQiaMbg
QclXpiJVXeLaMRyelIyRZRxh2qqVeA9zoFEqcvI12QcFgc3Vo+yMX0ku5LOvI0goITESX37AsDtP
hrlzQnREJaYPq6xi0DIu2vdo/mjy0L9xi/J5qD/a2b5MRnedCt4TxWGdrz65tpKRslUiRKsrmwN1
O1pbpz2Ce5jXlVJveIjI+676rW4dHDRWfJkmmDbAFyrEDi6DpPnQCoVkJWtPbju/FJqIcQ7ibjas
lxgpYXenEsKtMuUZE87D8mdDV/gjMWAlzK4X9kcFSCy1cfdO8rlJt7kXbB1CzFqXrAXuyd5DgMhD
gkLMdMUloGW2iXodrudgdM+GnG4J0WXXG3E6FO2pi5GEQHXOGbTb0U7YCmluY76bqE6ZsFft2Wrl
ibLqh4HDrpDp0UscSGKeQfvXWc5gmDMdkqCWLHddDA91rK++rAmgHr6hDuHgCg8gICN3WgTIXiYU
uz7Gcmew7fXokj2y/G17ohdScSwMK8PeFoqAFwyfkZy3BC09OolBEgoC1kBf54wYKv0GKFjJ+DQg
/h4G5+SyqDWERK0CuLtxSxe4EUsrOnMOYDfIq/KfHQLGqIOieZMPCUdPdzxrzuNbGY7Rc6EHVpMQ
r3fAJrLJgdm/9lSZYdoWjwybYxrt3eTl6MJHVDvJdYCKlM/DwyzahxyBy6rO+WQNvc6wDsQrlUe3
ckxAMs4w5GTQV1h8elI3kix8Bdt+nCIWXClfIm2DMu4MRJzQ/ZF5sXKgC2Fu2SODnAYWoCE0SS0c
6jPhx9OZTnJ/nknv2fJ8euEkXlGT3pSQm8qFbDRwmNmiP8Er4tKkUlGwSTT6yrSVdB5ag3njDO3Z
yOyNrlK0bYZ1rjUCHY8+IbPimwVe0ozVPhkTGD7jQ0lwQD1AxQlo8lJNN8fOyC8dtSmN9+5o6uTT
Qype2zCAXGuXdbWzmQ1kqEQnG6vMFhx96HhirmMwIvhT0/JtRWixyZ+nNw4juSowsw0zp7Zk+/Wd
Oqi08UA+Qkn61C5UDOfg5P2LihvSTjC/BHd1yQSg9ABG5QgN8zQHLmZiObbpk61IhN52uO5gfHhs
r00BStf9GRGoYPeyOebNYrDo3aVbiRcNMdgGha2HQ4jTlHYmEpdzWnBGyxkQ+S4pg2oHieCYTv2F
2hntTnVAsPtmxWg+CvQFK1IyPuq6fSeF0N+YfkK/wmpulfwZ2ui4Q1VWuIcQiFk3rra+qdb4jub8
GNfoVwqhfT678d2pa743FjWTK1oxZIDEa32XTejvjE6dUFVeQ7VPGBmjgeH0FfrhClhVsyL6Zl1k
CKqDb7kn0CugHW1Mer4REUwTB4ZNnacXHpSffR9BTSAvZ+0kkgPp/ICY4pfyGvwANglIsTMdZQkZ
kE0L36xm3ETC2bQGiXU3OtKAJ5HvfC2IpEEPKtvqUhTmOUu8dyNoP6IiUavS1W9E0dE9RsnW19mr
nfsXBGTYB8uUZv+saTIs5xxALYwWv2cpTimvrzgToBNeWcRZ5T7yoFmdI9/qkUvw/MfOTjjFSowo
5XGp2uuomZ5rx9wgvA72lcVbvyjcKboibreLzGO+MBa6ETBkGvE0LaaZxsNQw8zouQLzwtPKN6gS
vuiJ6IBA7ZuJKRrUHBc5KrSYMMt2meVf6d4M6wibccaAcAehDnQ9n/iuij29jWwLvncyf6h5eLKQ
MuAwCn41fXNohBeSM4qTMJE03LDPM2kx+RJsEWxTB4C5NPjdKAE/m6LPCLVxo3XZFt9NXsV1ZCR6
l7o/Ogvt/sCMv2gOgVtd+SNILRPCESqFtknPvao4iqVga6CupBtvtB7pmNq7qnQI0sFcpyyerTg4
hb33TYzVS16ONEm48H7aDUZ4azjmZ84xrHRRQExHE6FjXC2antr8xLDl7BH4jFujohgUAWC7WPnG
vjXZtzV0yW1fA3UrTtWs0dxFIPdr6rg6fi47XoEu8bBlB+UupfH600Jy1y/1Hr0/8E8BD6Ux0FAM
1EPXDLcipEBtU0/vglh4u9h2tzF2PtBUCUhJNw+uTHI+Ci9bwW6ifaBLhRN5Q15RfsfY4ZttfiYV
g8GgIEUJDc2KIIJ2j2zX9tl5+pa/2JcJtqxQV6fOfkKbjrI/WRezfqRz45ydQv4i3Gxin9Ropbf+
YPImIVsbLW46woknhodXx0AerZyKxSy6dnY2b8M0uWEyPuwnhgic6qpTWYV3BTE8x9Ig6MohuT41
hrvIwcs3KWCLKf3dnaeNfdPxVBSF8em60TtRfw2FCatihtBeSvoouMaOfVU+U/Pd+05kX3xYLGvR
XidaJOigEMd0LtMBzFUDp4dJwvxskvpOWhmSXdslqGBUxAtga+dndSlpiRB/POh/QxLdji09RSEW
9VhVHSTsRBrn6qke3AwiWzsgm2zuyIdq4os1eM2hpT3NXhaehp4X0FMjay0DToRp3SvDZ3ILfRaQ
cUYBZpjFRtjL8CJlHo2p/uvdSJr6o/GccZPTuMPrXl1Hw32aguw5ieWDpVoLA/1itDyEk7qERghX
6aYS7FqmEwDJDLJTZxZofnD75aIf91a/j3V6a8dls1sEnAeOPhNjTl+gFqrd5zoJ3LuZgeBYqz0L
PK06vwUFWSbNukupCSLp97vZonlPRilO2ZACOsNkOeTGqejsl9yjoUKhTaaUj/7AzXg4kgzVUBNZ
99TdWPksiRyOloU2ybfyqrzfGpbeWB1n/j5BOGoWKl4ncNMWEWbVUHsksb0h+CfY6dq9Rimnkjw3
d4WoXiA9sktgf3D7zz7UoARViIg3CF8SunKpHN4nslJXcL/0tnfNW62MEL5OEN1lzdn1qkeR4dJO
CpbuiWZEVrWbKI9vLC/E25pdktmvni0hr6ytG0P0Z6ZjMwu4fV9wkceQPlzElM4fC3RlrXNnt/LF
sZkOxwMHEixZKd3k+xrS6mNr/EiNiFQEPwkOgPbatSTwWRTNPgZB2I3TfHTLsL1n0Lz4B+KPNO2v
RkrDu7hHfYl6HSCPCoznfqQLmru4+BwP9I/rkxNSx0syTrcQC+CbVnn+PAcBOaPR1iDmBarBdMwS
Gr1GjhzEC2oeWSM8xMmE9dUefAo0Ymnwa2zTbtzXeGgPHU5SbLEUBkGZ8/ojyaVozbd5gLfYbhAF
BMtMoBrUM2ptZrFxASELMSyBZ4385ZhpsJ0yydI2RQiJ1U0Wwh+Z++pxUWLPHfdZ6mFVYNm8zhFG
EYSjMMoYZ3N8gjfRqjtraMt1hgg7Ufe8XD3NqkXnkPwQdf7ceGczwYtDY+3RmzwXe5h7bzIBXXNC
1/vSQrOi01NvLr6tmIg4hYqC990h2WpAq2xorqBcUGzTDVgjFq8UXKgiZIjiiDFOqlEEzxindXQZ
O9Y0RTEJi7X8pZuIS+kRjzEXek9HJH0T9pLaKh7Zrnf/qxtUvvIgWPxtk+pb/HPhBf3epPr33/pX
o8r5g7CzJSJNSEs6REL9u1Ml/qDjhI/admzT8mxJ3MO/SEG2+oO+liQ1bBGGCeXxl/5FCrKdP+Ty
o5TtOZaUAIX+J50qsSQp/IkT5Ev6YfTZwQ5JG2v9nxtVqHqyICUSbkW9CizOBig33VMKIrjWkB8C
CB5xa++dKQNFN8p6x3njWJoUxdZkfVk+B5ia8QNwP3zZ4/a3jt/d/72O/8o78NgxfXzCsf6SPYWq
S3JVtOMIeHKFa/+lj0btPJJ0xnm5d+KReEoCDRnQZlXy1GO3KGnXr5uuQSpkMW+dM4QGxFnchbpx
4GdDzY2B3nHMe2ts9o3YKzjDGGm5+oerXK7iz1+iozwC4Rfwkykcc/kUv3f7MmNoGcS1HPyQe9Hw
cS6BRfDlON4llkItax8MO4dIOZXv6VDuUFYO255GxKlCRzs3hHXGFmqEsneb/d9fm/2XKA2+Qcdf
zPacWYFLMcv587XRmsS7EzD4lSbRjXaEFF0bOQqlIH8ZgyEjAI2w4rpqil3QOQ8lLf9ryRj5GOWm
XKMx2sx9ad0AvaOuQw0Qtc56HCiyJFLVNp1QvRL1fLQImT0iQAn3Rm4cQyL2XMaDbudX30YreQBW
oqG3hNY/ZIXI//zql74t0keIW0tn9y/Pb1+B6Qr8tEb2NThnhvY/CsaFG5WLbRJyzJkcOlp1gCyY
QaMF9LbaO2xwtyhqv41tTKx5F5KkCZMv6dHklpV8FB0QKdRmSM7DQ+3jTR1G51LJ0dzFPrYHIjeL
PVzZeeVzv/dVYeIgwZaLEY7QYyRTbe7SpnDtbaS6+Mag16JUvuuyZASGjvhtditcUqKkaEBVk9/T
0TrSxS2R37FGK4rDf3gGgJH95flEM0o/16ExbjvWsgT9/nxWUe+PXsuua5XuHhPca+TlIDaCS9Oi
SlYffYkXyDDv9RRN8IJIa7M9EDLIDEMIOEuq1aQQ70kUOZDmwp2dEM6dz02/ViUilmLazZNGHxqL
+yjQJdhxl1PGkrEnCbOb+atjTFL1RzKIIwM59U/v33+uEiRGesLypMnaSNjinz+fOyGNqISH+obM
ZaR67wx6wXpm70tHavS4xKQMuDeYS3BF84+kNTYEkYsVIM+SUtDah0Alwrl5BfXGiLl//Ic7sLxl
f14hvpZ/gebVUwKd7p+vMNCjcu2RrKegUC9lnT80VfUWNvpHcqM4ZFUZgjZAFnSruHhRwJQPKBvF
mLzDyQLdYN+XScxEgKBnhtHUzvl2zHWF/8t/zJPUWsW7wVGPI1WVkzT33ZSc9ETPcmEfIoagRW+4
11Jxxvv7D/YVXfmXDybRQtssMA6ri1oGIb8tfSI2wiysWFSW31SPNGxGSnVCklsHK7fqjUcZhU+z
tO/juTqUtr42Jo9CY8n75eZQKfZrrwcaGtC8pkJqU6QTcepeLUVBpe4KwKQ6uIEgsekd817ZtL8X
YUMh98aPOax/kM13n+cJrWtXLeh7fUBbeaSLApYqbYEJLM6ThdhZ2/wqcA98Uczqq/hdTMUDdRKC
e61+RnZ0/vuv5v+zd/lSeD5TKNN3wAT+5a0rgVn3rQ3gB+PAU0F5aVb0SEsDUWyzUSOQ1MSJ3zkJ
YFMJF87sj69nE6MiGctp/FnZENpdHX0mJsy0VH/+/fV9vRV/vXVYBgWwQX+hEi6rxm+3rnIabxI9
ty6o9LuJuYiu/WtCB200gzOo39fRDTDIxZ9LbznSXOaFzxmvjSC/aQ62yH+FhX6f+uTTrKtXOiOf
OellnCrz1cSkwKwZt7iEy8lvfsEGTcnQl+l7thD9M/rWQM4gaD1Yc84QuJXNitnD1TAQBOTy1Mjo
XQTQeTSa7lVNJ6xQ0eegMsQsFlwEw97DNRhXghc+iUOaOGV91+U8383y3H096Y1X3czpQMoEOjIt
eRt6BSjBFfd+rD8nN3kvR3Hfle79HKbrqZp3qTbvMse5Mvd4tSS//R++8f/ci31SchdkJO+MZYm/
fOOjJytrrsDdzIoP3YDLdgPvkZEBDV9X7s0oPDjW3VDJ+6+3R0R8FGBhdM91cvZ/1OHwAqoK1r68
BoVxn9rmsRkkj7e9o291zWIemthbO4b+hm6b56vzViKeQEfEGXn2xZPXfbBi3NQKo7suf4EYu28J
0cjm4hXZOu8tUCeITZdGYqfrHQo9UrRHkr7r9MYvFziYM63LuTuHrvHWpf6j6bSnJq4wjbEj+LZ1
b6vylXkFDaVlsflaekoDNPwU/Pz7L5MH9K97v2VSIoO35OUSSDfspbb97QGeG6fkaI5WqUXHsG2x
sXshdq3qGYm02pSWiyE1BBbrz8UmNapNLMNq5058ttIAT2Cgci2oxjwTBV/vlmDkqptRAcKTFvg2
KsbbcSiRxLrC3JR5cHLN3KXBAFojLzrSp2MmkCrMgLWEGv+mvJnAiLPXd6+Uso/p7G5pE6xEYkZb
CtUJEWRIeF1btDhvRHpyU5IVS9reInognsA5Vz2oOOSjJLZAh68t2ttGc7IXSfOgOvBQY3/jATSj
I9gAM4zmnx1fC/YqeuDkhmwNuv9b7Ju7yvXv4yB4a7yo3MEPuNqkw28y0BA0K/Vd02TIf2P/zoet
iXRJPBf0fdecmFczlNxRbQpwAPjCuq1Z+SOOcIAPuakpWuyrm+a0dRmIrVU7FFAaQrTOjY+OTgIJ
6y/TnKK2xR+wy/seF6BznZdvJSJ8Yl2W4gYeCBhcc352ukWi3wtGyTiBKQ8J+f6wu7Zi/eE8kjMj
bJvXMp6uXRUV677T2bqq4o8AiBnArXI/5LaH9yxI9rl+KZbDhxz8B5PnF9QKb3tSMfdq9fws2hli
E6HnpeUx9U0YM1XpJ/IfYLsx/490ZudomOkzaif6XZ5LHM2t2bfOgbZIvw/H5gC3jXjdhXsxTAzT
mHbMeRlvxox4nwCd+LoFnhZxZFrLDrpq4uEtUTQioSDtv54/zKUB0hy1sl9dY8IbD18dHXtrbuJF
0NpoCFpps5n9Y55RGFrqZh4gGxCSgr9mptKe9I859o9R6eVEVvS4Y8KPuBmsdWhEO6NaWg1oaYF1
AJ2im5kzT4l7pguYQF644dCoU/s4sCyhS1HPvg86gTjVe2kkr3pkpIosFa4wiDWkzWO6vlLAy+6c
E8cCHNuQPEbomESwhG+UPGXQMWgy5kgDs8PYXzWpz6gJMXiU1rPRs0hBVSsZzsfigh9m1VsBv31I
ytu2dvk3B7KTG/s34MblHn/A3ZQhHfiydqAGQpxDFG7Pu/n1NI4SkRNDjAkaWd0sfdGR850U9PsB
ka4aX9H8YIYZhYjW9dCd6ppjlVwChPBRrb/elhFhK3Mc83WWvIkExaxQUic7v2ePnT1cicwDMxdm
c+7Ruywyx9sMOdr6MJy2Y+k59IHExVfHOMGv2IgMN7PhPbdmaSHtiSA/+kjvrKnut2bSHyED28cS
hu2aY9HKlAlewo5AJETdL0HPTshkjhUrnZwz028dm7toQvLQwjTpGB6MHKHwE0G+gguwH0se1Drb
MYwstrlPKk6cvIvBdw6Bl7wZDmPsMa1/jjr6XhggjUa33HPm+7Q7CeRbsEDBdZQb3dIV/fq8tftz
NFWx87FrBqX6rrGFb8OutnaWXWzTEJAKEUvDNi2CTymqz6T26bXLmvafm55rlTWbIEOBgWibF8IN
2w00/jmJ36LCSq64vA8hxId9DcOgqilEBw2aYhyw50+M7ksu3FhUDIlQjN9mcqTC4cBSNO89C9QG
W59/E4xvfn3fGjK60a5EApoD2mlwnzBcL1LGNB0Te4WMvCc7az93DWQMw8D4YxaswryimU9KNZyZ
+3ZgHmeq89fFft3cQNbl2vPBXuZQB7AKrG0wYWsTZs6ORr6xaRsJKLUwP4CFqaNRYn5mSNjZmltB
05hBrrnv6RhvkmogdKgbC0K4PtuIGi6weauDifa/fu11jb8owlZQd8+oT1HKRhT79AUgDokMl9gs
S7gkiBci2Z9iQ+o7dEKNMO5SJ/42pfY96un6zP6wIm7VPGaxowhkmfNr5Afr3BJnswVtVI/qzjDD
ErHj0+RG6D4bB8RPdlUmOvaaXQMxKj1CK35B2VoiLQLNDzCnYlB6Er7hg8VvaJ9mL3bboFdxoc62
k/NDe84DoQrsGZKDtGUV1WUojG9mZh7Svo/PsUQ0VBTcDs9rTsSpmHvMO69sielG5kShMUKsOIDz
3WIM41Rl+WTdpuZTVjrwCNIWjdJQliBVyNFx4aZvMwMom+t0NG0zolIstQtm8UxPeJM69sUNmZc7
s0diUeEf64hZhm17Jd3NeeZkPtG79zjPmkF7NPog2NVB893pvWpbdEBAGMBhvWkA4TfoO5Oe4zYK
zo2vhgQtrPweipISycbTVw5jfUM41a7IvejYecFLlTKIaUCDVplgyC6RbA29IEPKbipIGXztXaDx
AyO1Xr77WsGN08F4gov5CY7tkqWYzCKhXgyZ4TRIjPzOgjbIIQBr3+hGV+RgFEufoW0Hn+tlz4xx
oWQTPL3QeSDauEAgq2HcIZ3SEjJ92Opt5yrnVNpDydGL9aWJhgcrQ0AZVtXAg8G9sQ1LbnBjSrZY
lOBMQQD9YFB56VT9HUzevGrM6VefK3t5ugFbobGgEAJp4cZqHcdNu+PYmOxU7CKpL43XIQCKCbGb
HShlqRwZAJiJybinbnd1x5Cp8ZtftUo5QyQR7sugwCeMqJhBb/mihuLR6VR79lOEEabj9qwQEB/K
nB7KLC8srPGFESJCZXMAYpQJXsIRbCKxaSyYy621eUZFCHaDIkRsQr3nDJ+R48JdCOsRlm0iv8UR
nT5T9HdVEg6nAplFg/ERw5y5aYPh3omn4j6SyU5OCTQbwTbZkELRxln2UFMgbcTczDtHdG/8aOeI
hveQTVFwNVPuECd7TKBeFREggfJ4uVajzs6lYX+f8S4xmWgoJ4P0rq676ZzE7hVWU4C+6KBfyClP
dyo1PlOGokBBrxVjkZ2o21MwhvIoJuOB3RlLycDMA/osmC008nvZzq9GgUh1yMjqjQP1lnXTpTdV
fQutifALZW6BuT55ikoENA/a2aVQkmP6GXQ0FWSWvgZ2iGJDUIrWPEkMA8at59jVii823lsGBosw
v80HogO9htsqgpCosQlst83mR+aIv++Yg8yMrXyg8qtSl/vI1AaKAXTkQ5M8hiHFVZgM4/Zr0x7s
4vtk+dkq7NjUQbE0a0aMyx7J5QmeJhi3bzmVKCYLvjCnVtdKL7EROj67DhMsI+CRGermJqKXRQy6
6lairG5dnw5aqg3AKoL6E/eGvYJTQ4UP92WLdmvcNi7PPaCmdFdE0J28HlemIrfLpTiStoihCl0Q
YDjnJh5Zluz+vkkElLia9yNspx+F1XyEpXAY8MFD8ls8QPM8ZBSU1Ncmc+c+Y89raMbsxTBBw8xf
HWt87grKCK175MuT/Bk0J5Fz/NItmMwxYNXiBNriCe0ZQlL9cmQu1v4ETSASN2FBYTwZrINJ8KYW
YknRKj7N8t3X1VjjQGS61jY0N4yZkbKr5jUqUbGVoy62oqDVUmccDpIau0OOUWZgLLWLqw5762wf
zUFsWp5Urm6U2zqMH7/2qAGdW+vsYmN8zJURXbkbxJu3wW2PoUiitaFHBSCm2bKeKaboih7LlHJC
wu1YIkFCZjWFPkXqUk2pqirXacxMMkuYjxaobaycm6GxaDiSkCK87OBvkYOEcRJfzfi5wuG2Ld0G
IgRmaFXOR0vhAQy64dENeH/7QGNM7IKlSkOiT36eZj7KCaWJ1gPQsy2RYN4mnYfP8ln0TXzr8Siv
MjOIN1HHizDE4cNsIbb96tA2ycRjGNpXfJyUJfC6BqEtXl2kWh5BBOkcvA0ZTSjwcdevErgYiBwr
ZkS1X/dBWydqoWZft5LnwUieIoPz0UA4d4EDD9tLhooVWx2nF7Yj3+hY47nI1G7v8bwxMZzo+irU
IVE2keim+TyEdG3r3roYGD9mApTcuKDGtpx8Q0eJYIKMBzzsMk53eSyYG+bptndc3kSd0ifDCL+P
olcZIoZl0ziJpMt3HvHouoI4yc3EcmoJ4kHN54CG60G2MCknZiL0g8imeqREeBARyQ8mOz5gosjZ
xj28Ot+9K5ejn+Pm32mvxOsUFMa5MB5jhXUu7vTwYRtg/5xyN8iFtZfY2R6IfHL4+scoFvOjVc+s
j7QAslxNB8NYLh/byuSZguMrbOZR5c22W6gVtOk1B+Y52U+UQ7m2ueSyuDS3ZLkYT3yduyDqH8oa
sBJSmB9mVD9OfOabJuw5jrN7iK6u92Zd0G6eJ3vf+Wa/FrVvnk0d3I7GOCCvGs2r1aVc7Gh2F48a
55yo5mJyPD1kSmvW4PCBx/B7nSf61fUwtOtkRvTVWARBBbN3kkVuX/oYtFlgttcEdsEedhQvic+p
FYmueeNU2t+HpCJFs2+fu6Jv8FECIFp+GWk9lL++YRySvObOwvi5ohSjxoqyb7oKs6MkbZL/A+yT
Kmp17vyaX1RiuxrC/HXk7GuVwa1ALnRo62zG1pD7Vyu2DlhRHEDMWt1aaXYRoUz3def5dMDhbi8w
k3HxZrISNUzMqBwaItvcxApgZ7uPrlnvR+R7F3CF0arNp2ofFGSI9SopMPvn1iVtMfF/zXXsIXjC
UE1cWrMENHpjcg4KkHOdcR8o2mR86/0Jz0m06K6emzh3HucMwV/GUJAMj29e397amATpz1TzI7+T
jpVxsKAGr6gqza2Bj+YQBehR69L8FCaSLhG3L+GQgGR1De9cZfrceX12xgWfHI3a+LQ90PFATGjx
TW5GeeRh856saWNwPx6sxLz4c07uXVx+7+Zwg40a+4o4IBsY1q2BJAcrWXgUSXGEzxbuRFGlz3Oc
6UNSeo+dMNS+iyh1UNfkcngoYLbvg3GAdmgDH3Wz+LWUhonqULU7Ans//XK6CIGqGF1vyrAy7Y9G
LnFfN+zB0CadVSmiN5m4UMmyqDhiW8H11vHqov/Y5P5z7iTZFZR3Du9F8X8714JRxAM/DYdp3W1F
o9rTp5Z8edKo3ooSJfQYcebMGk+zZqB3lGizWWVwdNXDdw/EyDkPq//D3ZksR65s2fVXZJrjGgBH
a1aqQfQtySCD7QRGZpLo+96/XsuZ95XyXqle6Q2lWTJJRjAiAHc/5+y9droqYpSCib1yg9LfUpBL
YH5AZds52pR0+QykoNmbUXAexh7j0tII94FWwy4dBmaTGZ003Qn9Ld6cHxxaA0Ksol1E1C11Tk+C
qtnVS9+P+SnrLQ1nOEyZ9Vo1lKxBGt3psvsJCpOMTJKvWD2rRe5UFms4B5Esx5kDG+TG9Vwq7lQ/
SH96LqhHshEoiCNq81BD67AtTogUAvvUTVC9JWO4DHIgSUNA5eLOBx8Mc9Q6yTHsvat0dcgkZlAt
Ldh+sfSfzRx4jn/NWAuZu1Lgg+E7BLk6itQvUjbF0kH+siLHzI7HR7SDRIb427wkwy21dX0zdZxk
p34gKTTHca7ZM+oar50OA4FzXrFzSy7C0IcIrPsShESbxjvfCK5TQy8mmGjQFdI1FnXAdolVi07a
3J5c4W5s0E1Ww1ubCV5ujeei9wb4xS4BiGypyp/GtpW4iJ1GYiKy/L+am5l/n5txehI6CgRdWK6l
4or+2kCNZlZiSu6a25aP2RvQoUadSQd1qc86xwwdm3ctZmAik79pXe0ZTCioTru5S0FJnJpm3ne2
IGQWVDY3I6QuMHJc113A2X42fxT5wGeFXlftwygGJfasPI/vOYklCrwOfNENVv9FX/jvigZTd5i3
uIw0VFvD+vuw0wDNG3cjJUhVwz4TQ4d7N5x2pcb4RyAMUikCXUfxI4svI6IrR+MjXpVefZYlLsIB
MyP8nZPuZ/0Njt3y1xDg/1fQkW1bvMH/Oeho+Z69fzR/VcD8+p0/5S/uH1xlcIQ8oTr4rs01+B+Y
I0foaFyQdpi6Zf/m09LJyTJtXFX4sZiLquv2H+oX9w8GqY7u6ToxWh7f/1fUL9D7ucJ/n4ExQrA9
i6vfFjjCbOUI+32EQI9edKajZnQItOVoNScKuZltP4Tq3oD3GyJPW5ptk5Kly0k6m6m0oXMugxjk
XKz5+nvds/UIWXymdo300bXCc29gFU6iMlxl0XCDog9Ym3cz2FZwpEBPCmoUWGDpRvxgLtc/50W6
YlKSL4thqu5zzWRevhKyMq+IGu8E1oytn+KoZkS19Ac/foS0u9KioKS1JIZ1xsC1JHFlYQYxS89A
QNfc6ycZy+BE68BbNPCBWEDjo/BvJwIgTpVE22ZJGv21Wc8P5Jb0S9KAxaZ1QNr1IcgUdyzyJ1L/
akIg8ugmBfi0GG1sPYM3PnekMh8nK2Cdp7FEjT7tsG3Fm7YvX80WLghi9FMcVXtPxsapobq5k9Fg
4J6O8g19SCB7mv9lGEF5joP5YA5etIqdXu7LQDmkXC0/5ERuRwRUrDwpYJeF7BVNAudW9rncVBgY
1mmCrWya/XzfmCmAgiw62mj3zhN91EIDxlT6VkCkaUr4mJ/tRSOzjSmBx2lB0h/H+jj1dbgTQn7V
iIe2hosovEzDgzF2Yj2ZBazAxnRP0i4fOs6KW781jEXhlc6WagJtebcUo/6ztHC9hcb4leQYqRKt
xljjBcVaeM6hmeWwdxJC0upGhyHEpZDqFAKQK7B6NOYaVt7THEiwO63+mUo4APIFV72201r6hSkH
3czMX72qkqeqn7yrkzyLMc+fyt4o7lGgbDv8rA5MzIvWmtoD7Z+L7LTsxo2KcN1o0AL1qiYVNPtq
htG4mUZyQbK2lyu3G5wzdmzn7OXq5NWEOwrArenlYNO73L1YLs5Wx9B8lMKgZerBe+zN4Rkf766S
IMtb5lCQ5lci6B7CqsKXUvb7JGxvx85LDug8NqAFD6llQUhsiMhOPJej8ljsGSXw31A1Utest7hv
X4PhPRO2Sl3qxW6mP7gIxdUdSYqhT8Y1NY+nalZjIs2+ncHtTfR+iVWnUziJ/I78iLc4tRQOKblv
dVnc5cyngoQQ+rzVOiJVcoB37mZotYfE7vCmY8vchG2GY90c4I70X2hDS1zB+o8sAivTD8jr6YNw
g+G+TAVhDLIDqFEPnAAyLznRLiMpyzU49/G0HoL47YDtaOlk/WbWS33DHzGtRWkb0JgwzbSZNXGI
IG/Jz+yJYAsOfXk0XoqohutPAlWZj4hv6YMO3pqUcoDH+kB+ApOJRcPkc6OBCRwjJ93lvnPvlQIG
eWC/9jRLqbUG94ba8NmUNh+tY2Oei+h9zOLUR+74mBvlz3riaG/1xFPStFuj8HEZFxBX1Gtgl1NY
vkbU7KDrhnvGSZCC4575SJUHq7BndoLRHEl6vsvRDa+QdV2mqOFj0piIYXmraA9yBgIvaoP5XY5J
X6w6kUf7QIr3tub4UEWujXLD2jGlgsE83nUMSk5jSbzXVPqvaeniLTSGTWw2mFfK8Dh3t+EwBPc6
7KLSlOlan9tHgmzFDscgUzWCk9Ez3RGfQSYxvM61W/bbygOq6uTKV64+Y9cpMLeAGkaxHc6bZsjA
1mKPxZAUnkrkyrgORYzDPk+BycM2rmSabaIKPbw3o0D3U2Nl69jOpWWl657ndpJ5XuUB93o8fUiB
i7Qxow2NlxBEJySQIHQws6BTJJCL/5qKD+YlGudUe43kzAa01QwI5Ru5cyuOz73m3HL6gdlmrWIj
9E9lVh01ZsxUKT5JYJqCj4m22VYDTP158N9a6NadKPaeHTYvZRa9xYCIF2Oj2Q91XD1x3D9ktJqW
rdXZZKFXu95OtrlWr4mBWUdUslRD+6EL9qR6vOaGdbAoMIF/7+VsbcM5e3H9C+ZTqOSsjcOtr49H
5uLsX825HCisx/nQvtmyXpl5smVuce6j8TQEZHi7TBPsAbqpjs+pmYA8zdupqy+ktT+R0Rsvqth6
C/Mj87Y1SS2Q9esz8Ih9nMlrV4s7w/l0HYKRcRJv7Jw7xBc0UMaw1HdJStY7RqNdHnxnWDSvfbKy
QMrF5nAzKsYc8H624ca6H0HwDYpDB3V369VuvJ9A1KGxwwhpi2DbVeJU0xirozonegCy3QTiLgd1
VyjmnWNCvyN6jOZbDV5VkfF6/AnxYG5jxczTFT1PyPbiWyA5bVGVcJCfwgDSXg6Cht7iXK9shisM
646J4vIJAH1aKiiDzEWlwTxLFcMvBuYnFS86iM59hT+5KYphS+erzQ7cUFAAFQ+wBgxo2xACDRdk
dyUEWST4Ki3LGugqBzQuteajFAa+voKGPJPNStEH59BxNnHJPNDCcVnJmEFik5GWju3IU/zCxmPK
H79C6kk3/WD3a/7qNx/kIVJzBkTeqzvAQuSuWASKjpjX5nOueImTIif6iqEIleRRa0+pYiviCSIl
BNzioLiLpjSe5yF86KGiMG8C4pVU8pzF81OuqI1okOA3AnJMATriNIAzTbt4HJxhKUv/TgbjKWU8
s0GHSukHGBLU37DNFCvSrqBGAr+mxWzhnhCi3eoJRlf4apliTWYhDnCcVpyP4FDSd+mZFIoXhgHh
OnGYOfWKW9krgiVgRXR2dXLbKwLDBIrBVUwGAzhDpigNgcI1gG1wB/gNNiAHyziDRt+71cynCOjB
VsSHUbEfJiAQjaJBhKNgTpUT22f3n5icrnWS0CWz9zrY2fWomBLMYRPFmMBLNS/DmAQMXhxN8Bo1
0qDSll7CaB72umJVSKAVjqJXgKSFCfRNtABtQSbSuh2A7YZYQajX3J/BbSf0F0DX2XZWdAypMBng
MkyFzVD8jGaUAps/wzUNuEYHZEMfX03F3EiBbzABo10DvnDpgUmnJX3vRFaP9IVojfAnoj3SLcbx
ppTP8zfZgxXyfm4uTf3Dqf341AhN5ZhDAxmk+TprYJtAH2bg2YCYBz/HGDV0qr1PQ5+dsT/EFIXQ
0YiMaRV6V1vaDFDRQ7DPstpD5205EhgkXK6AQ4XQkhkKE0TEd4Au/sTrzlEvYpTOdOapn+ySPBdi
Q7SRaAFAWi4g5LIS0a6hcobiE+bUy13tMI6joWI7zXks2LUwup6IQf8c9f4pnbGVWZqs11qm32W6
NezHPt12jKonNZabW+rgLskVIik6a0I85BJfBbM10lUEIKvO2TfOhIrLAcvbDjB+zZz1vyo4HYmB
zcuJMzgwrPgVrRtGxaSFVYmJ56kzKTB6tpLMYRd01IlU2hbHMQEVzanvZe2/ZGE/PXvexUIAwJ08
6Xh1yvmenDOSALGIpdMotrrUwgvI6OUgM/s4msMVQzjMcivb1RqYPMYCpEMmrbGYUdZvhM5bXgx2
eHKzTGnwykeRgp3r8AsWRjXuiRexO7qWtaOtB/h+myIzSqa4LkHtaYn50GtRlw4PwZzfhI1d7aYq
2Ph17t/KXrWC1Htc0CQmyGsgiIBB2s69U4z0IAcFiYYbPIAvg7WrRBGMYb9Mx72fCyM4RhKGgGlc
oQ+Gu5IeomeT8xR29TpGnLgWwz5G5Y43qg9O5YY9zjzEukHimtn0Kxfa2ylrxdnPMDdG3VSvnRB8
U43Ppan86QWVY7jJi6o/kB7IZzmgwrXIYUWhRg+eLbjVx2ENyRFXqJZdgD1j3ZdFsYx1c5dzoN4P
jn2UM3+bh3rODLQS71H/GBBfiTvCfReVZaF8GcWur9GMJzUo1Km/0Wosja0+uKdOTkt7Fgys3WFc
eiGKhoDx9sqljbIyrdhcmE7tbG1rjNdCmx41kaTLQp+vNgnUZytrLh7sJDlxOG5VMac18odtZ1eN
vMYTGq1j59U0Wcrk3XCogzA9hAO31ix48ysvOnqj/SDxT6/ZD+JN05QMk6b03NjY8Op+wNesTjYd
UlxiOG+D/pBFSXhnkNoTMdvYhBMzGSrFG2xH/hk6yDYjKQsLGmAyqwm+Bj9f9rjSXucGrZo7lNYy
8pknBG5yFHOGqpFI2RWUjm0Wyh+yhl7gABKZCAdS2OufwveijRvP+xKnGSP59kBUWbtzY0wUHkar
oil/GAFrMfTrlSQQdEFLh+lbRti7PhgbQwxftpW9tXa0555gOA/Ga9aDO7IgHmgxrG0nxSDm7srB
Ty7xTFHhy63tkDXQATHBGuE/aZnT7NtCzIeiF6TJ2hQtAYvSyHa4ZKp31PIp2/fwaMF6lKiu8Ci3
WRxvvkub70UMn+hd41rJoR2dYzRX8dae5p+cXXYGuiwCQmhUC8fosGbq1Mr5e4HnZYMkFPW0qX8i
XGO6hdNmGY4MfspY3JZGY5yjaN4lGiZSf5w/mTQ8xT0jBC1hD6ypEWIn6leQSrnuafY6XAf1iI4w
1q0SiSKeBtJQqGGy6hbRI9RC1V3ObeOXx+Bfamvt1vfrf1O/8aOs5iYOo+7f//pl++vr8LNcQcb+
yxfroou7+dJ/gkH+bDHg/fu/8UB//uT/7Tf/2+f3o1zn6vN//Pf3n3kMU6ztmvhH97tBy3YVLeif
tbTy6r34W0vr+3f+w9Hl6fSmfAspv4XGG8/Jny0tUtxtsD86ue8eUn8PG8A/st+NP/BfuCSMczEj
Vf3N0OX/gTeMn7d4SPPb6/WP1373q1XF2/brvfjz698dU4In/0tHy2ApJzDdclGVI39x/iaKnZmR
KcUD14UWf/gTqu0BuJgzONt4zoFjeVDi0EMrpkNo4EK3hmJhN8kXWxaCYfrWXkfinfqxITlk2rBN
DY4yAx6KBs1+71NCWnxRgDQr3OZlSsJNosUnZipKz86cd45vlfXCROweWfaeUNWP3z6N/8NLdP/e
tlYvkcYdybTIFExI6X9t2oEFZVBb5JxU5ggwCFe8W3cvhHVSDyjVdo9XjZEL0Z3qz86CbCPL4Fho
0VcTUxNyHgBLFsRr5RJB9fjVld4+Z6Pg5WdnQoP30NtOUvL3V6QH+Gl5Sor2JcLnnSfBW3pW5oWp
GXd0s5XiffaUqR2FNMFyV2/aYmk9CqWHzkLts1RqzjJAvKI5zYtdrnMZf1i+vSWXhgNQlB/CNF72
RvTRlRIv27QN3Ypqpd9XPr3nwUMYPxiELQT5yUj5wg1QHvfzk1AFMDF1qNxwXoxjxoi8aZF75aeh
odVNYmrhRT9RjMQk8qD8VWHGE5zFZk4uNHxeJWDgobAu//zDcZSr4feOquG4CNyVOxEjDg3ev304
fQk+SNpkVBCWgU1fXUyTvRs7+qTl2iwOqCv2wmXCgNR2mJudoYVHw3c2w8hiPgYHVJ/rgJ8efl2s
yLOwGkLehWN+cQayzjG71Jl9cXTqOElwqF5uVZXpJPaF9LVNJIuTqYOngaRF1M3aM07FNG8qHq/U
zW0UW0S3K0s2Qj9bJ0ikLk4x16nuisv3N8LeukUZ5BYP5HL33r2mkaRTMjvPzUvCb1e22CJH24W6
tYVQf/CD7DSjziAh1yE9SZja+p+/pcbfm9S8pTaXO/M+RhrM7VlVfm9Sy9Ekp6SATBL52o9SYyhU
R+sgd/Y+oxvLNDcT2ZxDU9yWwXT6L54bF+j/9oF6Slyve7ZH1oWw/7ag6KUz11nlMs4noLSrWl40
VAaenRPtKUDm9v1x+DOsKOov2I/cSEmm7+ai/9m76RfO+hJlr32RTbDt62alrEgFDapCvNZkknQ9
V6s92Vsw2viUvBmAR0OyBZWEcJpdYucfylv0fS/33b0s3ItJUDGy+fSLY8KjR/VoojEsEjxtY/rV
5+BgvpNEWAhXqHm/vi1nJkHf8M6efU1HG+x0LUjV7MMqb+yUebHP133tpiuUTKSQtpea17EwU1ZK
R5KCFaMTA5OcPECwfTZT99qAgvTN+qm3YUMOQCI1q4KvGPUbnQaUrziSnpTvgQA60CcKszhOYtUA
9ka+68cXBxQl/e2la6fjfuYvXNSKV9lX9YmYTqSK5c1kPnEKgoulCJfBVCC5KbRxG4G/FAqDOdGm
pzfDujziYVOszI7L1bfnt0x3b1MtvYzjjOKvMdFP4uIvLABlmWJvFlbzWdvulSjPAu0XLiswnVYn
oMmF+kwqIf74CphnM7t7un8FOm7wzCw4LPGK/TkDAU2BgaKRDVCQkkCXQYbTqCzpvpSUOR3qJPMH
KjZoJd90UcUZzUx9WHRhdkoVg1RXNFJoBpu80WArlncUK4fRtlazX8EvVSTTue2vTp2/BFkG41TR
Tk1IArrjnTXFQW0AomLU11Yp4LQWVKrvy3ebxBm6flBUYY+vHNQ1NXjVGswqSTjOggvyPlIEVso0
VGmKypoqPmusSK2j6YDAht2KzBNpDzhXTdPOE9mkc4jwS9w6QF9jRX+1wMAagiFPBhh2VITYduQ1
xal5myl67MT5syxdvPimiYnAOsaKNIsf9eKBnnUguzgJ1xEIoYWu6LRVYH118DNLxa3ti5MD3SBX
PFvYWWASWEi9IDyYU743/FvXD54bRcLVQOJaWYcAEHbIktzSHznYXKQAoOyrDaFJxtZjwSdaEKGP
Yu0yxHlnG0QpBYaXF4W4Ai5vDqBXKChepz/oOonOon/xROI96lO4QnABSqXOarR64D+0uXswR+et
AgRsKyIwzCuaZ1x+8nZWxOCQ3DVdMYRbRRMOB2vTIpjrFWdYBzjsRQdYp2SPKRKxBZK4VWxirVgx
38FeAfVesYsVdaMDZtwEtxpe3XGmL+I5zyDKfo5hStmn+BfVtNNyemcg572GZMIaXPKsuMkjAGVd
PKtL1o5CRKZaTUfQPwfj8JQz8F8gVAHxAYxZc4EmdYnz3E7RW80seYFOli5mB8MZ5cK75VZXJz1w
kQaK9Dwq5jPR9YTNgoGe6e1naOrPDavxpEjRaBF/Wood3SqKNOyKN9RzOCF0xH9Y1pEBtx/kdkEe
9C2Sk9i3JqjUk+JTg7k+NCJHNukuRpWhp0jWI0jrRLGt6ZYP+Bdj0IZwr4soezFy7qW6dL+qol0Z
ipGdpPWrxRrcAs9ONA4MdRNuK4EqNiVWEXh6A/DMpEdjqXR6h7EGUzIP9mDwkkSOdwOA7msyQ3Qc
MgN/NRO9mRWfWjmk6Fv7JY1o4568apRtuWKkPswqDhcouFR08I4ik+eBGF6M2buHNPGGM+AV4ka9
w4hEfiulPKTIx6Idm2Um0SXPmodMVSU4ChpRaenjTgbhvKDNsit972dcEgFJWwxxSZ1sE83YOjMr
APaOH4Z0tjoEtyWHouEu5egTZnKfhdauy5EXIxtjLhhKoFfaC86w7mgzM6RKtna14d65JCPkfX1m
/rIRxnTqJeURAoa3Dq8QS6gsVjJxVSuATp8GSCdvxBNNYsEVFqSraGOmpH1PbbCpsz6mX0WertDv
TKAj6gMdl7Vce5MPG6WLSd2CT4VQsXmKXjvXxPE946DskdUtqRPOqOpsxMplT5qjcy/qam14wS3W
GXFsIzSWhY/dIE3I4ZrnRyWpH1MJyDK3V6U6tzMxbSI6D4N8b2aF3w1KuuH5xNSupntMJvSZSpLP
jFzXtLDuW4/eoTlnr6Nh3VP9Ipftzm0RbGV3BMsH8mSsaNKRS4HjilNXcwYn3i5KPQSb55R3bhiO
R0RAQIZ1uOuseUjLy/izgJYMsf+F2ATSf8kby2eIhmVyX6uUBMt36Ia5EHLjvqBfasq7NrCszeyz
E8d559LxZ93XX2VDhLVKZY3N9gPNM3l19fREssp9G9n3swjTtQ9jaJkV7rCYTljKWNIw6y9nWmfE
g4qN7egfuV9uhLULNaZS3siANIMildfO55y6N7UTvqVzwQDLIMnG7Ldp5eNkoxpauP58WwC4Y0Ms
6eh15X1ADGXrMA+CqsO70AGgcYdg19XdMmqst9afN4ldHFNiysMak5NlNNVNa+gbutIrzrxGeIvW
fVvVE6mz2iyX0i/3FPBgasIQ4Fov2n3WpGut1T611De3Vqw/6naerX2y9ZYQxMy9y+KVSTfCJ7Th
BB8xaJvpraXw6nsy3tMQ5uusZTQ+TeuQGKRQd+LRCeNyxwDhUMfzsQFb0zML3ZMn91bw42kx9hAL
uLTEV+WwN/hDUaw1rTqVBtSZMFm1I0Q7ruEESxTZZo4tv3Sm/dIytBURvdpC52JfBQ4bvmbu0U/m
q2Dsia7r86cxsTHGMIetDM4cQ/1UCBy8HU64xbSrvZ7ogNCKd4HtXx23+XBjv6YXSBOb/2FhwWgE
HA/ZL8H1ppm+xRln3Eb/IWcdG0bDHdOOG1hzMFfJ82n13LxJJucFYnp1E3igBW0nRnpnXqSc3loN
CFvvMIgb3xCXEzwRWor6uKuF9VHO7o0bJzuZaj9o7fAOEgGAInLlRil5IEW07YW8K4eeUWI/fH+a
rUU0YE3ubgzBDbdwL5a2HA+jezInsgIHsumA9vKYegZMKwYGAiEr0NZy8iH/tQWNoWsYy9OY6N2d
l7NpRTaT6Mo+o6Cnoe04yTYmC2JZVPWyQDi/yjuCLsporee2fsDmUCOJXFOqxrDiAHEJ71w6Tny0
SQuIuV9YLyLIpAGnQ2IaaXftI0Dkxmi8w2hxH9Oiu44yemqqeW8VzaUy1d2dzZ+j4627McHQTS9q
MAnWkDOm0NqnzCie0wqnpt0cXGdtmHjsrfCnO6+7EDdWZ6MZcyUqct5ajMg1Ma46w+KYEjiqvuBv
tUyb75if3CP+oqU2xydZEZIdB8Y6MCS4YF88YQzadI54ElK7T1u0yKMq01MTi4kerP3G2lbS3yY2
aMCuJcqwresHp2CSIoDBJatSM7sD06ZN4UoA8xwyORlxYiLRMmxqS1FaZ9pk1ltsMHUO4bvpBaQk
9IFOSShhb07GNkHbEU31CsdXsKR5nkNETf0VjivGYGjyzb5Yuwmisqr/kBGSjgY8/NvwhXiWznfO
vLHnKFVG9XbMkqszNR8o0+6tQXvVe0vhJF8hgBPJzq5VD/2DY9urPsBCBM0GOMetNfgHw2xuXCfC
RUUKJN2XZ78vj2YPn9xL905HICyyJLqinf3OuWIv2nliAwVpk5HUxvfch7Ye5SqObmRCO97t9HoT
mP4DK/uB8eBOFPlblQVn8HQLrxMEUgbDfeab51HYj36TAsFq7KvvPxjNQ4VCfpm3IBeJ+qQTP93Y
HQMFnp2DiqEFIFcb/wy/+xacw65w2L3z2AyXQzhu+pFZJFciVNfooZ/Js2Ech5rRF0vPYNsYKzb8
3CWofPLpB7abOV2XAsH/nCB2Kbydxwa/SPViW7fiWGvje4t1wSzKk+lAz4vejTJ5rYmoXYD6uKM0
79eeovvXI62S0oTqNtGPJlFHZU55HDU74k0RcC4R7S+KsTnPRvtQuZa2HueefrKY3/3X0OFYDDa3
xdxR+fhO++3Y5ndGn8TrkBeDGF+Acc5mkqV6Qtlx4CwNOwJWNuWUfLglTEvLV0R0340+z4XZeg13
GJmFy3PMgcmWki7tsnxsqE7odlAz9JF1hs2E+Mtlu0VtdEnMfpVH4Qbf932P4h3TBFnyqUW/QtZi
OyTWXWvt5kz3Vt+NHbrjWBkj6J/FeBxnYzOb9J1GEEfED9kxBsjhfkr8nWuX8Gd4XWPPrybTaxcb
/dYq0pOj484hD8e68XwcTDBiiQyx6sNQGp564ahkkZQjQWZXN0fyWUlYTqqxW9OtuE5t+iWq5qVg
VYixiDQ13ljaTHmpv/RastUsf1VYIbqs4ND789NUwfUwxjMKtZz/nmft3a28fc2Q3o8iEhvkU2mZ
a32KmMtyiwoB7ax5QOZ8so3iLYJ8CA1axm9phvYNbb9qG6D8PjgmVfvAIxY2mt/sNBX0HGiu3zpb
TfSIHzzyQqyPHhfpstazt0w8+1EWLjSMgQoEUbfXEaG2yZRMdSdMu3mJ4iPfWRvwIpd6ph2atnoh
NA+C70kPjEuPjMBymT/W8UcoKJ67czS5mwjHpQO/NxPfPSP0NJbmH7zBv84TKVMaLUQ4UNB84U+g
IrR/6AUldlks8Ykd5hKwBm9fHFZ3TWHfYP5x0vKV/NyvqaoeTKNdlghsojE6yjJSJzZgf3W4aTL1
j8XQiQOpJpysfY4U/gZD0NFvwp8NVJY2QifEJls5O8woh5qo8zRtXzyNWx2fadOWLMuEGBbujT0x
KjQcVjttlw/+PggRRPjjuWWqVU09g9n0rezcG0a857i30EfwCnjZVmVfwP1EA1Mw1SWOIMbWFL0G
tgYNS33EiYgtOJO8fgG9xXQ3+oyYrnP3tYbKhnVlYu4YkGDSyacg6C4MBTXKZlabn50ggApPwDXT
Od1qJfdpFO36ynSW+JAIEU68Gxw+hBtK7nvRlu/VQHlRb3VURhuEzB+hApjE6Nj8cVyT2FeiRG9W
xkjvtrXwUZS0I5lML9XnLwyX0LzmXvO9GyOi+9KB2clnf6+ulaAOVWTZoVNheki3mwW6z3sKZrnx
8PECElnPTbpvzYmsONVvtgK5M92GsA7HvACPvQYEXJVZfDBm77lzOOnpEVVcNjp4hKMcvcPnSHgK
ZTXcJYMusURuCaTYu3Yh1yWxGAssog3zZhpKXC5VTh4fFlX2xW5+0dlARiio3B8hqxO2KHwsX7rJ
65SKJzJX0UfqfTCUZshXnAQ+HcFu0cchZwh4KN/d/XAkpNb1unvKwABISOrz6Oq5sFs6PB4Ta406
33gktgtb30fcpccxYoCgDlK8n7vaGl5GgC6LqIc7pBuXJnGuiXoU5O33VXu2x+6FwwRtPMnlEyfU
t/aP0qDD2LzkfnitZg06BC8+ggU0d7wBrW1dModHgAd2CSMNDD8zDPhTN8r+Nho1RCRzUwFw5dAV
/2r1DzG+POHyaep9+kEG2yoe2MeiSPMWxhjEhA4hM4TfuKC394Fah98VPctD9ICyxsNeEH7NIQ2d
bmpRSHYvQvGuCvDXi189SSddDZq7V39bXLcvxsy3OavcqGGDXuNPlxFmaPMaEIGqUGSLFuiLusSi
AkRWcKEBemdEHq1TiBSjXr/YynCdNwzwNEWrJQ+JTpn7i5rlVriGMkdSZfPwdUmSWpK/tUV1jF2J
9EBSFpb2L4oX2+sW2kC8rKl2IurWbA6Ak9NvVc9uMx+q0mxdRcldODLEzwD9qjHGhAkpK+MvZuE+
mw9TSBfDZKBd09BE+jcfBqSrgYc60q1HNIqBcwNY4VnPGgbJvnFvWlxOvjbS9qNpCqbiBig/JthV
Olt7WaZwR4x2XjHavy/KmIgyBkx+rtA7QCSQPtG/dzV9G1lRvrfnbUvJzQ5rhc8jLsh1KIEGhdQy
kEYN/THMmmvfGA+O9CPS1t1nTRINL/yT30lzF1eAkkOy17YFp8Ghqf1t6Sg6lN6sGz/B6bygcQp0
zSu9ZeFwAA1WTtEcybVZtfGjgdtkgd71K+/Klw4MBtf0spi9QylpQGGNhsD9Hk7w793sxvPo+jsW
V1XXZHchZ36gUma6mqcC22tSnoTpcLH53X1ZES5pSMAFGcuH62WsPKP5Buf1KFziPMLCvTJABKOC
V17FYffI2ETh3IS+1BZpXGASYYWbwBqQzkGrPUa7NCERXmqW8aRRIg8iO+mVfh7hLHNs54Bg9vHV
SpOeI3H7ApHvJXGWAEyDVRSASRnHKUCepdzLbBwhHJxosFG666Tmuk9mygdpdORTj4nBwuJt84zc
3anPuFP9a8z0RCJAWyVYzBewYpeZhXWZ5qpqQHbeBg1t6Ng/QtuTbGY2Mxca4AofZ5H7towjdFne
ppz6p9Fs/eX3UMuekq/AaF++UQypvRmV7iy1Lpw4ATyoq7TRuj15Q1+IWbs1+/596ckrVi/sSszA
vQ6qimxClEUa5AiCBpem7d7qwfhTQaoGc3woPkw//NBncUkLGrjV2o5YDCIYLBPbtNow66F5+X6B
A1QIKw0uIBSonaAZ5+wyYCImloyUk50XbmKSErWEBoBiS6njm1oKqGsZvbIRqkdT+6QOzE3t1sHg
XtV6MZss6OOfa5raBVM+aTIQPmYSjw0+efWaMcAjGodGVYW/8F//0sD+/6HAbYP+Bbis/3xqf3qX
8V/Cgv78jT9n9tYfIFaBYHrM5ZnaW4wt/5zZG39YpGwzeqdI0Yn/Yf71j5k9eUFsDgRuu6bp2I75
v4b2lq4m/RbiM6CK/KYt/hUfyvcE769DU+CFuFmEzZ9g2t9D1d9IVqB/wyqDLLWI7NL9n9yd13Lk
SJqlX2jRBukAbkMLMkgGVZI3MKqEVg441NPv59m9Pb3VMzu2t3PTVladxQxGBNx/cc534GgbNIBS
3Bcu13wd0mLPeCGpVtMNwULkJCfqpUpxI7KLMP/uT/ovBQTwY/+6wLXsAGqmw5uEyeavr2UifqLF
vMUs3CcxVhpzQw+DJWVAXwJBhwYOA1XrIkJTRLJwjCBHZxQeOBjx4O8wbPA3qv9zOtQYzChRjG3v
dsX6dWAorV5KzOghfRnUjpFLvbpXFcbPdBLscie55YC81f82mgZzlUl+v758tOifKDdGhK4hZkCI
qTtSJu8Rb+IJNov/5i3QG82/fBoUuCZJUXwo/77CdiY/9EDLWsgjmTQDXyZyUxFhNOG/mQZQobJK
/luGrGf9++bcgg4HSVYEAPnc8C9rXt/tG6KVF7RgQO3MkWIh1DZA2SAwjGvMiONLigw7Qs+LyR/y
UySXTwVvJNcRjQrejcSGsSnn97yL/bNOxEANB3ilXuZu3/ug5nPchpAsnBUZBIPI13/wV+RDXaG/
XUdPA3BygF09XHU/EjDjsfuRnHNw4/EDP1O4p3yicgroAMq02HmM+QT0VSTKxZv1Zen2XIUN2RPe
VkzLh4h5cQF5NLqh58E8tDPtjG71J6ae8y60ph+EkIwJ9UggyFqyPPWYAOQ8RVCpPgUThJpJgl0b
7ASZLUQpk/NajxsANBzs0bobmEPwzcT464kTlbZLfWczr2iZhKk5YPWsRxkmfU77VC7+E8GNYDaZ
eDQ2t2wyX800Grn8kc9Fxm3m1u85s5KAmYnB7CTQQxRTj1Naeelsa9nEhv9Y6oEL1giIUnoIwyzi
6MTBB7tmPZ5hUCOaEqnYAtCgRk2fvVbYpgM92rGZ8XjMehax8MqPpSVcRJdi0zATyktSmBamRCHT
onxmH8D0CD71dS7U5ygLWlTJTFLbMLLsyOJ4gci7coqqfTdC2gv0YZ8DyspKz6oKhlbCjDWheapv
ZM++1CdIo27Zq5pGzVtjH5LK/2rG8Ys3wNoz6qlKwKOBBGjg+ek26ZIK5wAiQmRyZDW/zKmerdgf
pP6acF/4QcALHsyu/jK94d0tJZchFJlgtq/Khv2fG8arCbB9D/XkZTQEwsnoTBLNpu5CJL3sxN1x
+EXmTAcX4oBfJtp4ZhPvq5avaiqD+7CBEFUsE0Gy6PVNGX7jsQJEn9OqD7xUyb7SomayYgbz+LR2
CCuvgN44M4Vmz8a4+FVdfcblBKEHNWin8eeag96DCc01GZ21GCZdDUvX1HR/vmmBqMea25/ydK0E
E+8VtMhoV2jqOiUVssE5O4XOvLE1md3SjHYeMvSZPhufIH3qlgTr1ny2ZfUi7bfMpDmJFbz3GfA7
an1nhHKaAoQvNBkefzWZXpoWb4KNbzQ/3oN7aipewYScx7C6pyj0KoST/s1gx5sWjdJKaB59DZie
mauHXUXT6kO8b0cJwH6OunTDjga3vQ8vs9Cc+56Fvm1FzJJJK16pRkCC9vBVNKwnAtaXeW+NO1sx
7209NPosdpC6AtaPa6T7FaZ51IXzMeYbsSK9dWuC40+n5gVxLmYTQP1Y/hk4hrD7hab41wJw/qjJ
/sESvoxAaYlDBi8B/D8uX4jvuMAB+fZ1NoCvUwIGnReQERzQxHI/wpCQqSJRALYArzCCBcQoX6cO
GLCSdQoB9xNLfp1MkAnxWvQ+twWZBXpYG4/xlnwHkhgZRwDuWW79ZkKEGm4cgg8KnYAwEYXgEImQ
6mgEVDtpmWKrYc9h6/QEnxiFqjunOlUBjRBhcwQtCJ240Fa0fU2uPrWufyCUAdJVz6mU2Uyrfhc6
twEywqax2teaQAf8LTwDRDzQP+rvD826Tn+IDUwMnXVj4TtCrsLn7OisiNjJNoFOj8h1jsTiINK3
SZawdcZET9gE7m/aBZ0/0egkih7wJb2ZjvtMrdfYCk81FmuIMzFkQp1lYRJqkep0i0HnXHg68QKR
S7q1dQoG92ywN8E16XwMVwpgrKjlgBB/uuujS5CGqxM1WqO8i+y9H9jTPnDNtZJ45h1Vn0wvyTGV
oslf4puEmI5RRtAiDpJVmRWQ4gHs8NoSo2bV4XM6dBdZWgaxV0gLghRRkAsWh5SR1yoDzORwUnCq
10wlSQ7JiBCJHFrLsR9/2bFwVyKYgFLoxJEwTgFmusyBRr87jMSSoH0hoiQhToHhL6klPGJEcbJ6
yeXcHkyiTUadccJHdCd9Uk8ckGFC56AQ08pvr7NRZoeUFMdmzYuv4j6FpbYxw7jYwfO2a9ZzOmNF
jB2PZH8JdPqKF0gHTwhOCFO+IBM+1jkxpFExHsgOKxjyMtD2iHOpiHXpLETkAUEvpU58mdhtbgqT
Aq+BEGcDqNvCENyhl0NLRWQMftRTG5JEi18FmQ9yw0Hny2RzdkkLvSUzxD0z/Avy8ucZrTGtPWda
REwNBYDcDjq5ZsAT5/4gXfHONfpwXyfctA0/6Fnp3JtRzxRGnYXj6lQcqPC+TslJ3NZbRTo5p2it
FZqtxl0eJ52s00SbIGuCvdSZOw3/nUEIT6fTeAydywPjXWxaqFWInPlN5iTfTWIK1qqZ74LEuHZ/
T/jxNpbO/Bn1UMFhyVvqPKCeYKAhB4bV6qygLn1xjIIUlQzzQt1OOxAOJ1Q4TjkxUxSwc2aJkHwK
QzCakjSiPlMwMKfB25tEFQm8ohxb2ALOrU4yQjxN32n+Hv30LnXIOmLBVeIOMKf21VD+I9LXUyoE
jxQhSfNIRyZxQQSTzT/AvBUDSsJRZyspQpZinbYkTBaypC8xv7jE5mEglKnX6Uy5eI91WtMiyW0q
gvatV9jwgsYuWee2vx2d8pTrvCfO321sgxwKar4VXc5SvM0hAUqdFCWhPi5ER/15NhjmPCeB9W2N
wiOnJMy25VVVNsvefK06196lxFGlDlKDaDIuY1sh0EdVTkicWHWZ0+5Ufpi9+jaYKahIPkC6qxOv
LKKvgngilk2nYfXWs+13+1wmN8AsbiXgi7AmPQtHJ0xYArVsnaxlYDJDm/6iT/R148DEx+TG9uhP
3oq6jCOq8pDh8FBH7pZ8s8jwAYPqyWOpjnZDN95KiwTfatzORfY+mv4mciOYTrKBPYIOcxXFWOnQ
F54a4RFTD+585Uze1+g64TrOEC1ZIWMoEtr4fCU+jkL28XYJoYDH7PcMk3fdiG1rY4zxa4os5sYe
QVumyUKygcmk1uIAjQoGP0QtxNupfZHKOriRtZ8bwERLsuMGKOpzURTWbZAPARNL2d7JWcIerLKd
4rDbCBwRbjD1TEWoVRkqEj8mdlWPYQQXnrtTqjjlmoYVx++21WrCWL5SVZ9suAh+E+N3hqmI9gCS
jV1lwCaQ+mzgRrIGiwMif9yabE1uS2uJIOmTPdjGdxmzsxk9ztmUmPdjy4a3GO0jO/mBv40QCwb/
qtPVx1zlRB3jwiIPJn/05oDAeD8/LIAFb7REnWKIDPm8jusNqU63kYJv0GLJHLUWgKEtO3pnOntu
n+yERjrB1XgaLeLSAA0kufUTsl3diJKoT9M1AHtlg/7Ne7huSbIztTdMBHYPc1hulNmrWx/3+ao1
mLqMiihlHol9IYZ3M8Cu6RKrQNsivwGDMFGauR6K7Er0IQFFMCR2rA/RVsx47NQQ3o9G8q1slAZx
F7+KxoM4qrprgHCFZIaQ53GmLGSUNxNrAb05dVvwaN1lysUe4fihQgDomDQWA1IUYFT+AyGa5NPl
B7Is39wpemvHoDgWbVicqo4cUGVSXC5Vty/L6DdGHvxxHblIvjsSyS4Z0L+4rP4qG29g6wU8lVFq
rDpysle12yDDcTiOxwhi9Fc3YmjP+/kDtvd3qr9V9TS8lUGBNbFdsAoa9o+afgWL5exFGn0u5p8Q
2VWbMUFzTHdnEVmITFNBtunJa2Q/YvgdiHRLcmUC9Apn635YsoahMosRxTcSCk8pP1SHGK/0q2dk
EnTXRocRx/wC9LuxArX3JOUc0gSqNP8RmnCGC9M6YOX4nhP/kOOwxGd+U4YW+ZYm9mjIrnRHB5t8
jDWX6FHFr1PJNg18IsAxbhj/saWejMwUpWLvf7si+L5xMoc0jgGlO3iw3FwbOj+QoElzBSMM5WqI
WynBkjAr5qcxmgBjkC6utmULn3KgnzF2Vo5VKiubH9dh+pApe0OFvGpnEKdTBxi0fqx1GALpl1Bw
12YQvLqVp9cu6tGNo0NUlT955lFKgXlvYKxJ803G/W8FVMmbnprWOrKroGpV9UwWVIWDkBSrNn2I
xfSc59jnyConURyvbqulyujAmHTfkeQ6r5ZJfBhd/Zi4ENb6Z6snBCfqeGK4xCfVfbo41tOAmqYJ
4i0Khk/fZ5racLiRhUvtUmtrvyyQ71di3/rWnamwm+IP2Eo8jMlyMZvZ3AmsXqga2U0UqLYkkpfa
VQ+tN9w4Tb9ePHbyorBf7cy8o7f4biP0usl42wvswkHKoxER6oNsqT6bwOlYPMH7KAfKKrbpw4mY
l3qw+0NoUgolGUjHlOBErPUxZMx4WdtEnm6CEEzYW5PhuGbcesnMaZM4sY22CV9RM4dM40MBayzI
PVoha2WMfnDrKHJWMxSZUZONaICxoCXTvKERwRTZSCgfdv0Wl2B2khI9UGkb95Cs7oibpycKKqRB
A6AAHxKUB3+lqe89iSc7869z1ERIEdJvl5nUxLXBpXTGxoaPDcdZNILM7Sg32lnhKisNHPzTBMl2
vrPhiK/yQt0uXnkSTOOH8LLk9r10pLlDHLLAtCSXzS0NMuMvaWbN26Jn21B/pamvtqKrfjg+822k
C7M4aUFFyugEUOZK7O2ZuTutZ+r/NoBIsJkIOLioC09EsJarMnF+SslXQVXdse+Wl8XMVzT5y11Q
AmEwEwzNEpo1Y5eb1pDDyV6ybYb+xoTd29YKsKq6LMrfVTUqOi9uCXwrP3plX5zKIfrAhC7tZP0N
HpBq7U+6JvLKN6RJE7USawes5Mi9VXcinHFDUXRVnXnXlPU6iQlZ9rXvZCDHsR/ync8iIRnt10Xv
rpsQ2P9QfXcumHPczdZ6XH6waKgtRW5CzPLOablk2sb5ccnYQbs5faSi/YxMRGk5ujlRlRPaEDdZ
+alXgon96fDmqQA42pRc2lifdb54WvL6MDQ4RSKgKlvh/EYwRTAyHJB1T9LSBohLgA+DWc+c18Rg
ZrsRRolaeKfCegvcjylB6HSHmamMLY1szaPLdMx+jaULU0ZvUBW4HWxPuD1C1IDO8ijD6bYOBBoJ
mBPs7z+6OjxkQwr8rLqbkO7lpbuFvLYSzAmYTsoXpwE1YLHVRHL9plx4ir9yPzlMIv0esGJY4py1
PBsUz+z3LXXoLW6BtCE1CMf9CgY4zsmS29Y3vqH5ISSst2PnfXrECW+CcvI2aeB/mDoktppiB1Cq
gCaAIKCHyY/BMLA3MjPYUvl5B8uvH445nAf+OoT/agnd4xxzw9kOYa/jQv+lKKYRlsRsDWsK/Cw6
Gr3J9dNxKOQK36mlxG2jmGTO3dAeMdH7zBudEzNyqIOsIG6HyfmYcZmfU3EaMJxPUUGIjtHu4AW5
D40/vtjkWO36SElW1AXmSMziZzll2al1QCGxm9w1Kc1GGil305tsBKWPVtsIkpthMHfKJqHAD8bk
1GQLrSFRC9VzbzJWTZOBzCU48wYN124++0kfnaKEmitc/JWnggc0WS36biQzbtl+Z3b3YhgI4rIY
urQkLFmm9m/l8xR2bAFWre152EJYpRh9RGoVikQEaMWGfHiyR4plNyHr3vYhi96R374zr0VQ4bfA
J7QNTJs41bh/qlJG0DlG+ogDGi17cXRj8+Q3RrKyWuj+I3J2KFHRps/LZjuGgsdjyA4+tBnCxvl6
p8jUJemMg+Ima5x1Jl22eocxsZtL4XK8BFG7HXOBShlUeZVkp34x8aZPHptLnO5dgS88qtAU+YWz
J+GqRqLtOkfg2kcNhpPemB5TP+52QjLnFNWB7zERE8ZhlLZ7lzThzdTLcQe6gAUmGzE16gOyEfie
MFbTfVxQK7v3nJ0NOb9orZmSka3u3in6PR/l8ykpo93ocV5Ew4Qh3CLGAfadI+qZ6IV4CyR5YfNP
c/1nij9NxBwMgiawETvf4J1vs6Detixltz7HIYemf6pjeVCdasGxBFAVqJQHZtP8vp0+xcQ9Npa1
gUkfZ0HbHiUcpqBsnxvAEE3G8qBMQ3QyDmYZabIH8Lx9HzIJTJ0quQu7HJmofUcZlB1rEoM2UcJw
j8Y84vp1y13vELRSFDM26tA8uqX3yreXqIhUZgiDkVa1rn9QRf6o+txnX1cf0sDIT3WKmSGEmtua
LXvXtsLBQGz1ptEqIrbNwBVB4HhZdCK8HA5slR28TFOPoOM6jrkcID/TGdYvtmfmOxtG+TpKalQA
DdBSv233yeJ3d330mwgddSKi6xaOHiR5EDTxYkUn0w2eiiL8VVnguM2R0t8lBoLLwVwtPkKEP1/A
P+/yjC6r47zYChgtTM5ovwt3jfzEhGvIx9hltX9omIO7irkQGV/siFu+Ukn2lYnIxG8dAV56lSjT
3yOm5cTjQHOJTmlvjIeiuTHYu4ITD5aHNtCCaRRZNEy8VbDGVxjqvBuqoFYuV8GAfe91mKcK/Xjy
TwxhJ/diDzrpJOO0YF1MbYv/aEOdnzso9JQFRJfV6k83+b+7xv0KiB3fEnGXIx/mZI46tq1gMXAO
Gjft2M57acmry9N3lr289rrXLDNEMlGfnmGP1aTJmhfQk+NmWHYlqIH1FJvbKk8k0FsGo94ckmdN
c7nqVWtfGARzd7tkliDytVfj8L0MCyQDMd4FQQyTCdbwwRxBjeJ4l1t3VDu7cEnxwYoZC7wtzFje
5wYWRGbh/aQvpTh6myQ0yD8Jieacv80OIoNp4uABITtv/3Apl+xFUWAODvkyEpvZyenru4zomj8m
Ov2jODMp6lzz5n81ta/SMXcsLIFtyxC1dLZODLH0Xzao/4nT9j/bSwrbCT2PuEmNifyL928ZR8V0
pyeutSSxw6KAW5ph3HQEhq4Nj7Og80sIN631FFbWvk3Kz9ZgbWfpoIf/5qX8uw3RYR1p2uxjcXj9
G6vSwZHt+gsvpSMFdddlUfPog+bPZP4+KMs5Ua69uzG+eeDht8rx1I1ReKj42rsREClTh268/HlJ
/1M36K4F4fBf3nRtwf+HYf7yUWKYv0Vz1v38q1P+H//JP23v7CddH4iiEHbA//fPFbrzN1JENYrC
tfQ3hcXlf2zQTR8QB0vtULBU/ifH0bX+5ujN6p9VvGOxWf+Lx/3/5Xn3xb87ZOE3sqwG/Sn03l+v
Vv91f474PbagAa9cfwKhg4sgxE0wQfXnwmQuPg/qk6LoWXFJHWA/FBvc29qSICMazMUBSM4ywZya
e/bZ8CPc+iViEL8xpbY22MdQWx0WbXog2ATwfe8bG7NO3j2cEYW2SAQTVPFg4C+38E80+Ch8S94k
bV/RQmo4D1gZEWOf7B21Lxm8RJgxeu3KaLFn8PLPLnYNT/s2+CPPKUYOH0PHpJ0dmfZ49Jg9lOmO
UO/h75oVPGfsJ5g003NVd/upbOyjl+KA7eau2HLzPy9D7rDWIr5NFlvfNLpjWeOlYHqCPke2R29y
FhbAtE8ervNxSu+iGRlywPl5Zxvy1FeUUECC3Lu4fQpaAlmSVJ7JKeJgSykryM0rhiflxRfR9tfU
ZQoORgeYLwmSoJOz8TGeCW0xKgvXaWq9me60tsz43NvxGYjdxRmS87TMD10GkbkgGAltO1bHq93X
MA2zT6rHcwhRn6L6kR/8ZnCLtLi96fiqPYYvthpzd8jM4RJUv1yzO07Dg/LsEwiWeyskyauSH8Oo
SNuLy0vtwFIyxNUM6/smmXcVdTlxsvS2To7dsD+XmXnrXqos33lRfUKM8C6AJ28dC5JWn20sE7qh
Di7X/KbqGJcZYPEkmfAX4zcYRfu7978y444q/UZ61mdcWj9OW2xwTn00GgrfAaqh/KrM7ZxND1i5
5m3SqosM7AN+efYdQf2cZOOb6VhXBhIDKIEmo3WwxLx2TySB/PKBIo0V1g7Pt/dSLoyGccXBdgpu
zdwC4bXkx9Spb4Uvj0Q1Eomn6UITAJAYzk2Jx7LA3FXM7oYRIAYRGRxgSu7GngkqsJaA9ZwPDGlu
70Tl/fSjE2O9o+/qeu7bR3EfmYaB2ky73DQ+raRrzVF/msmEAzT1fky4Q9ugwWM0jHdwR082eXYw
PK2N7yZ7W3C3heOy71t4dMr/aZcwvlsM3PjpiDYyLscT8B0CR1OSs6bytnB4r9Phw7QArY4aPzQw
3l4CSnpfTZtlluHWjtAOBMJ/wfDcHYNsuAwAiPe90Z3V8OQ6Tc5wiDYlxbi3UpTRJt6dDpChS3sm
06c2bHcyeaMUbllbM5QYiDiIhhhoAN1himtEZtajMn8FQr6BN77x22SDpRZhr+7rwnJmNeUWsEcX
ht4VqDnGHDXJm1zjoXGxvOk9q8MtQt6NB+8mBmzJ6AM38zqt5pMx+VcX8SheLibqcOhHsSEy+NV2
hnuE908Q+0DfELGGOX/HANldNf394CzmTZreI/lrL80UMkfw4Ds6aYX+Vahra6K4M0zGM7maHWLf
c8y5NO/7xX7mD9cLHUicWGRCzWgGbf0WWcUR8rtNGDoNK6h5gwkA1qQhyy9+h0Bwqpm8RsFw6RaH
5vkrNcqXfCChrG3H74a3lQEHLfZS9xDBLLx1HnJOk2cKCFqO7yZ8JrHtFMS1+8Kl8pP71VMKk+TU
kae3HgvWx1W9fCaJW62zgRVjRBpZ6cI3D8r6xsI6A+0n3Sgru/UNh1IdpA8iT8gvjEEXCkZDSpZ3
ZJZN/YybK32K+mje4qv/lWdXry8hEBpkW6OPtE4lXTzpEhATge4SzBAoQJxka+ymoq2pi0Os4u67
MpNvSYTl4AZ38hYFC7YmwYCnUMzUe8P7WXR4CB/rrisw9MQxHksb7f5cP8XQ3RHkPxCpdR7D+Smd
ow/L/p21frA2Gre4RVZMGuC0TyqP6Uo1PSirjVneLTuf1Q4dtXqM2wzN1YB6YazNdz/H8dSY9i0A
RYbngtX3HGB61K73oPbWif9kOagtA/cnbQLziEH9Kn5FPp5gKkKMGoWlVh7fHyLMmO5Ema8j9+zX
waGFbcbhtlS46cbGu8IXfdIeu1RfEQAHDXJJxTZjz91r5evRanBZ9bei8Pu1sEXP2v9HJF6/muNp
wRit9yNhuinS1wRAJoJVDDMBn6phZVhijWE7ugYpZgEbHpZLGgV7Q6wGXOPCvHq4BuOBLTZSsilr
Y76aheCycz/paKt12GM+L3AUdLCl8kCRsYRkORvIJCut+DvXm8VQkfvqiwvxGpjg7OYatwEPIudf
ac3EmdNnlO55SkmSvWuQc6Uwr8Dwg6DCmbwquFbtpHzzPakXoxvYL7g2A08i9CXwMRbHpWfEBl1W
bgvStZgr2ccJKxX3dbRCDHJlVYSOzYGeSETSS+nfzB3KYoumf5tFxt5xOEh9Y0J2bFgxdglu9dgm
YoQPrDsY8EZXbuE+l3G0z/MmeWrj+csekoYIKKYUQc9zHfPzYB3jPSdkaDva2U5UhFx6DYFUBOke
YEf5m34Arp4bMB8LK7/yxA27aJQnsld3nV0/9bNf3JVT9ylS+VkPFWi6LhlQWpc/XdPKnVFMz3jv
Px2tnqm0jsbXihr2lVehNTYmYptFq26q+lGyFwi1GiciBnK1INBJtFInR7ITaO1Ogoin1GoeV+t6
oPppqu5h0oqfOut/pSi+dhRU3xmiIAtx0Fh7sOmMl0WrhjLkQ73WEZmDeUVMAYwWRndQ9++mU3zF
YnhgjgsGWquRYvtj0uoksmdfWhNTvzUiePfLbce/3QajWLMmajjpVq3ZwOUV/VcxEdQTOYfAIcpa
q6IE8qhW66QU1vObueJLnyAoybQNEEazXtgxxS61STDFq961WjOFfdDTRsIUR+GIszDBYZjgNCy0
5TBeaEd8bUPstCExpVIocSimOBVry+hPMzWjkTgrj5Q2HI3eSLBW1S34/XE7Brge2cBuXZYI29bC
OZPhjLRxSHbCebEzazfgnFSRTVAAXkqG5UTv4K5k4M9KhVnWXNwX2n7p4sOstCGTY/yQsQ2ttVUz
wLMJ5DpcNdJir+Riicm+p5r6T2yxP50KPJ9qbpiljriJQvPFbwDY+pyjTV3+xFG4RRv7Y/FN55Dq
H7x4OeLDeclwmAIe9Z9NPKcx3tOKIIweK6pRJ6yhIwzMYWITpaBz5jCuxlN024fJKTQsLK3a3GoO
AGISC8lfyiS+OZWGtsHihyUnE6CuSPK9AZp5VWOa1eZZ3id9V2GoNRKSy8anysZoO+O4tbX1NpG6
ctd2XKGNuSrEomv9Mev6Ny7eXWTxzloYhtg11AZSG3x1KVzg+K209Rcoyn09qoS4YaK6/9iDqcFx
uaxnfMOCH4mel72B/UnmOWQhdwOKFW7Te69tx1IbkGecyBGO5IA/fUTSySYGszKjsl+kftr47qjI
tKHZ19bmhvN31l5n86tFTwWxJn9ftBn6f3TvykozpN38r9Xf9+lPWVf9/9W9/uM/+nv3Gv4NgBKA
NXhhHnw022G+8HcBuPgbUCX038Lx2NX/Hef2f9pX8Tc6XpsVA/EYJtvL/wgicBGUIxEOfROdsK/F
0v8/HazFX/MX0TGbeCfwqectR4QAnf6SDd0ieMxgrYzk95FbxQWJTGgKN0J27MYZnU35AI2Z1vKr
cj6F10EJjrKB1LWXmJTiQ5sDcEz40oITNiTaoBFYhibP5FK3KmTkbVtKH3y2SP/m4AMiHctAcEK2
yn0ONIbkQ82OJAohetuOHV+Ycj6BuhyorxjD2s50b8T1uc0ne6/chiG1AVCVbdIYIG3Lw9HfWa1L
uolR3i95kl/KRtwuIqYHMYdHr4fT46TOF6Gq3PKe8WQ2hXeYbGrponLC+yGFwhO34qqWhHR0BMSQ
u0FBlfEV/EpqD4TjTAQH6/9Rk/vKzA6yyjA+GIHZb02rZBLaReUeebZPPZlA1UV0dgS/QmDsGWkW
G565v7qera0dCIJNaqzeLMHPp98LqXcwjR7RFbH9bJzpUJXh+1CJcRM2ZULdYH75Unz52KtF3qdo
edWvNibXiZb8Z2ya+5S9NhARclPKFEgscBuUHU9dgfayGx9i87aRx8lBeWI4k9xUUajZ+Cf2hR34
9A+8+ndlp7Zk5hm7SLhAWgb7d8zWISuczaSDVP3iirwM0pKCM2HGrwTKTauxE9dBp9QaqN28oj7V
OQxPswsfhGrvlIx+wm7dRONtu9BLunSLyvf6bSAQ2ZhEfXZuCmwdZY9jZrsiNOgPwCtzCuKIqWS/
rFvXowssAWO6MToVW2A1+nCc9qFLiWxgu9ZtpkECnKvOU866tGMtRoNUoNilB2o9+1lEj6Vq5LqL
kgzYTPiVp7xuj0M5yKcYZCtLmyJ/72uxEJSMdnO2sXh1GY54y9koV2z4ojyVJPvU/T0+DZZ6WtUc
CUIO7Zjx6q8ij04INpabEj87dyHjAxhwv2vL5jdBkb1jKbDrvUskk3DfNl6NnlLuPNcFa9URNxG5
IROZPt/2uI5zyY2fjGyMyry9kVnO5IXNNXrL+NZu/R0d8z3labDumm5eid+ZIlar5poZeNyYTH7E
eX2fD9OD04fPbHfwYdfOpq8QTVGx4I1Py5QccmfP3CA7Uig9DyUrVMmYd1B66VXNgDqG3l0tuMRr
yfY9HAlwkm73IgH68xy/5tESnbsZ1MjEiN9ovDf0EtRqCTAv2eucxR5ShDkw8KbH25Fx8hRlBSqA
GMlQNk6s8OmzI6ZIvhzgxGtVg2N9EcW9EiBYtov3bUATWLeGzSMm+amh2/S8RvdqWvkTPWNE3xBe
PfuxzlFW9tN2KKtfyqInsqJbe+4PYzA9J2LSC0tko6RBFjWSVA8zpdfft633FcmZk8PC0OJSKI3j
MJE9mZC5zJocatAedz8KdB+oxgQLp8GOzydLvmpQ2gzban5a77nvTKCLTQI0l1/H/7ZaeezDPKZZ
yh6WkKI1p8woF/USI2xbR1kOUCcw3mzw+8jfmG+IGjaycsZza38yVez5vtF+AF85DrK/mypiam3Z
f1lmQuIFVLOzMmpEUijXUYPb69qZ7sywRUEc1Q9kDN37hUfwAzBCSz4QgeEWyP7tbOBLjcM0j/tf
SlJkAn1w7QASwRkEe3BAjUkKSfntZtMqUOX7OIaHvgaWrQhZXuWj+2alpVyz1+10zYT9ZkISScH0
6eRIedzmvvHuqHKwUsccEmH+1GU0irLDRTJJQEYuZ+UK7Ym2NIdbIs3Y5hA10fumv++czL2JjAzv
jdfcjM7k3JQy2HmB9yhqcqcMYmJwSZAK40e2v/7O8zzc0anH6yqpDimODs+4q2IfP19IMMUcFBfT
NNKzgqOCnphc04jPV0iXcN452nqmbnzKr6qcPxYr/A4diqRkuma4U7E+kOTZ5fDH+tMSF+pmSJ6n
prmp7PKrcRhNNgY1ueg5H0gdJsUM3g/w4MqnUQ3MpN7Who/TD5UnNSPyiEwcZwvhQaB4uAbihWci
V8GK4BUpEciu85cyboaNOXElwk/45ZvTr7AI0QVlxovXF4q1brVhv5vBnSORllGhu5qag8vufjUn
iohcK/sGUHZ4IjIdrnzR4AWIeBRzw9fMl2Frz2TPhf1E77qkT7OYN3UI8ck2ou86AWDi4PjIMxIF
4ijFU5Ei/WZ4dHT6yeQq8W7rMn6nO0dihwAPGqV9JQ+RxhkJmchJXdFpinhQr3XEr2BzqDIU8VEA
5U/KFNUeffBNupC+0CMvSPW3aHKHg+WkNAEBiHK79P0tvkkWOnZ6Zg15TMLmgQB2eKY5jVT/k+bM
D605NW/7BHyJY99kKfHTbkFCTyyQXXfhDaKZqy07ec7N/C6KIajniTOyW1t+mbykpGq2SeQNzMCH
9mwM6aWezN8qG3Ux/uBaZ4VDwsYDkyr1qPRxAGjyzQTltaqt4R4w5q3o8odgAptlT4fcQ9RqejxQ
/qh+RX2n05Y+E8ZPAdMklYujOTGWqJj4RTkJu+nYP44ZVTYRIBy3WCUK0hDFT16D8KyM3yK170TG
iH6moYt94y0sGJc7Lp5u72bOWRW4JFeu0tE7iQJ22//m7jyaM2fOK/pfvIcKqREW3rw5MucNihwO
ERu50QB+vQ9GcpU/2SWXt15I9UkaDcmXQIf73Htuxntb2sVnP+DxLJLPJSHVlGvVmx9aGdRIL0H/
GMifl7yEgXJvaGlcO3uBmjG0JpYbg+hzTSsCNjbchi2cTFhCDQEMvL3eK6P6DQs5cCy4qGZu3HpL
vQQR3QBnDJsZzONfXp1JCEnpuJNRC9hiVMepJLahbTykETe2dROuAiJsW6/vv4KKCDD1KtkmKefd
bE0SeZvDT53TnWAWAOUmA4VdWauwh6+KwOrucPHs0xRdKs6PDQY5fFDLQ5iEFBE+GB5Vi13O8WEh
htMgsAwd2Fp6u6loeFyRwuRH4Lo3YGHZmnP1kMzWLvNCHMJILSs7GZ8liB8eP2DkXY8PM1KPBpEq
xia4SuAleeAARYOtwcKeAkRGJsEa44nXA+w0pk3Xcg6wORozzUDOb79Gc7E4qUV/wQixQMUoJekT
cyWMwKNos2PAO1bnUJe7wuGfsasSJERWtlb0T/4KmnY6NUMe3uahq1cc8Qgp+4I5clqhzxj5XSPN
BJuZ2uZL+FxPT1ThrC3rKSjyG2picRE72asYihdGkE+LMAhD82bueMdUwtNTaT5mmbivBV+1j6w7
RLCHPBWnSvIgmz6neXBUd2VjvMQJlrCuZi6NNYYkzNI1li+aUhaYax9AhVMNT/kQXaWVfckB+pCM
m4udVuyQFS4+rLpEAw3FoxCn2MBcaI6ufmja5rOL8yfTRE9F7IGcnS/nV6W22idYZQ2nbmKv9n5L
u73qrtp30eDiX+a+zxpN8JBfN0tWYBZPWYVGAS6nwArQ2c5JDOzTkv8AGCZf4Xc8VFiGbbLqKeaL
IKyuPTCOUrmQg2KOtB8MjT0k9OJ3I45ZIVjUFEBOehUXfEu85wT83HdKrIQYNnVj7zMTZ5Q/A3tc
vE9dIy5GS7zNV7zW/SFCcNgAGEWlcX9aesPmgigkpnH8I595jtmrw2a3TWpArWnpIdjQ5Zzw9i2H
7JSWiMIu31PBXcgb8ap3zx5k2DVehJ2wCTXK9FTSLlSoH1NaOxho3YpayOdZLZ6aWb4IfkN6jq6V
nYtD3iyW+yJ76fruErjzp/lHDx65nczM1JI+LTZhPu+mHCNcY+xz1zsqiCFLjHAZ+GEmZp8rQjqT
hle4Hu/20K0KwjlskO8GnECqhbB8y+olIa/CG+us4ehW97ZB7+Lifa0lS65PFcG2DCgsdzDqyV7f
CIf5ZgmezQ+vSRahLNs4aitKu8Za3gl8OKFTA4YPgFs23sw8Tf00lg26gzlbomigMkvW48l4sZl9
vcT6Pc+JwEsj+2lNnMalcLinMTmt+qeGLMXKY0lYWwM+mMyn3pPe0ywJKzAlHLsNjidj414qVd+S
aGKosVjDCw41PvqQbMvxMIuYoUjJ1ptO7om+Vbmts5DNpG/vs67/KQswlLRKfwwGCG1y0ijUrI7d
UL3SyLYNysW76bg0pehlr8RX7A2xwcuIZMYJ0SiTC8Yoa+WOCjNiFtzjGj3MJO/NuP/24+mHml4c
qCJ80KPxxMy5IRmHEzNEfhJ++S4MLumBhXRoA3dpmvlajt20I5C1FssPo+ufZmLJzAZQB44FFLcq
BKVRfB7BQOIE8trJKdh5J/g/CwmgMMX9whCnEGY7WN2J7m6ySulz71G0Lpjy5P5R9y6I6+YtzoG2
uGYVcjq8h4QBqgwSoCPu8bn/NAVYkFnDiGD+yNeO6qPVz/s6fcdWxOJDwxLuy+4Ni/9WLNw0G1a7
AxkRjpOwIVVU4U3LJcGLr0YojtKWAMu+zbp+TyZAmyp/SUIxrNukQxGl2nXVUB8MsBhoManMmS/R
aYvJRrgNVLeNyulXZy6whBHmiQTB48GaL+yC71/9ECPZuDXJFzArOD8wVfnRU6GNt2oG71tDPKe2
gHEV2ntsPg1AdWP293EIeHeKHzeUvzyM+vNCfsvRIGz7NfKIFw3iY0T4rKx+L5zyh7jsV5e1b5MO
nuxuOg7NQuwCpT4KvqQfc7Ks8jdiusm6dllga0GAyCvy44SfqxqJ2OIjX2AMPgAYxIM3nEJO5iPA
UHkYRtP9vADxJ5vAdhrSflIl7T6PoX0RikQldAKM0P5NPhk8g/Zz7iJEe1gEOex/zd54Jc7HO+rL
S5OTtcatzfvzlhEwS/v08Ac1U9vmcnN/+/N1EI7fHMkXJGhPkKxhYW3kl4b+zR6wKYr0Z8G1VAr6
RJ0AjnK3ou/fuHnz6c7UoGhaASZ4Zrkn7od53HoDdXgWrSYj0Pwg/YoT+BYMaW5ipHDLL09K8etL
zPQng8SdK4xdgXdoEhM+XMvkAwOWSbJRvcD29C5BhuGi2GVcw7cl/qb1WM7nsOsB88zJa0m3JUAf
Epw0a0SrtkrSfcNhMJmaOyBHyNxLs7SJYQpRCuGoMJYSsuEVF8RhIUJCNhtKOCvEDXBIeSths4my
Oxkq/tSmdg8UOTIlHWC1lq0xABYzt63DwkX64D4XQ7Tr0FQAfRYfaZLe2oodYeJqPjig+PkoVxlM
rXVTWncU2YEyazj5TE53NfrklqvfL5ffz1bgPlcBmn0qp28dYdWsJardRBPPa+L32S3wO6QERjv2
wrSk9WfE4ZCLkmw8PWktpmqnHYajdCBp9675WPhyAg/uvKY50RyO++OuUWsFc2kvsuUFU/q1Nbp3
gKY5RaPMWyfWVqEL+RgbtCwN1ngtrVPdpTs9i37HtgajzXO+Oyg+9LIU9zhMD/PSeDe24bwZHMg0
YuYuNITgoYqa87fVSrV0kWUnZaaMBoGf5QUDJeYGCwiMKpeCZdPNh/QuoBQl8Wlf6KmKPoMMvOl9
RRUJDlWCS1CGh4gp+azJKASdpTiYR59sOQOuu9IGhmWkLG7eg64yYycpkd8NdXXTZdb8gOR/1y7A
XdvNsPrqR67GfBDTC/ad+rH2CBZP6j3tWaVinb4QOOpHBAfU/Ktsx0cGzBRdNNGjKQg9WfZnOmLR
zzFwOMNns6TZp8gqL+ptwM0BMxJwImctJmu4ATt6/3Crd/mlGsBc4ImHUA5Cb5XUeAJkM/1uImtj
2plzUZ1xEGP7YYX0HZcdf1Bm5AAHK/ou27Q764xPitmni+O0ZBEwy+JikcL++7/xEQNDTTlZU/y5
VzL+VQWcXe08+XbKsCAzmICHtcOd4XKTS62CNQBGed2qVVh6Sz9Me5jr7lHbtYTuxVzDHMrXprV3
QYfWSuThMwWrtgrsO0qy9Tr2y102oeEMVfNUyOhLY3/BRwMd2AJXpPOBKzFzJ5ysDO0y18fvsXSP
xiQ5zLFg+1Yogpa9lw3YCNX0a6spGxoHuBd2XXLrxeUmcxmM0qP2eA5B1ZP7KcMdDw/1Y/mx7ocb
WxFR9qkUN2XzleECKtWXA6IxioVxySP9OdFbl7hMsgz9HNtZtcsT/TnO4BKqjSv4aRzFwNGDbrnm
m5g1Piy3YpBYd18S97XELrSmWYlRZYM7hfPhepp9TAGq/Kx0t1cm4VBrolhxBPa6HqX4iDQqjdlr
mMTudNQZZHKSelhVCvuGSN65q2FY8UlR5Jpm77HLWS9zs99OTl6+KpkAMjwm9SUYA0PPIHgHGGis
z2Mrz0wfnnK/iU8p+Jg11lXArBQe2cGdGJLqHNXl2ZG/Z8c4m5lPSoOJE7bFE+zg16zOPyd3kntd
wwvQdOi5gGHX2tWgWzk0mZrDbOTmD74JlzHDghoRYl5XgR5PcAdYI6dnJr+/Jxhi1AQeu6S3YIbH
5MUFOld7bRLDPIlOLnTrcKlAteDtVrwuJp3Z8Ld53bzFnTZrbN2O8i9BEJTHIqkgqbuE+NniDcyq
Zz8tSSS0hJyRM32rNjfOdDBm8MBYT74DM3ofM34dSWsqtuWMWvB2hVlm2rnZB8JHC1M7xzLGNxQQ
Spp9RvMYXrRNBDBO1cmbvC+P2uRt4U/PnIzKQ+e3MAwZT/dxQJ4gCE74lT9oknodLUJ4tPhOQMhB
0rh5exPw2rs1iQgL65/jIish/zeMH8pt2YOg0hEVsEHavXgxvzcYI/wp0LR9RnGW9UpOalN5rY+c
ZDzGgD39Sn7WHmFyj1swZzI8yMpjzzv6vHWKZTQ3NM0PsDi6TkKSmOar6MV9UkGwIPE2SpQM3/KJ
EPR6gbky1fNAYG26iKbaGL7UV0OycUrferPV7K5TuzZ6jsnkpHi502I/BONBGvx/c7Ac3CJZSkPu
vhHGupp6l20kwLZD6xNrVY1EW2bm3KmuJqiIIeR5nymmMdKGgzd3lY8MZfHEiA33Y/7GIJGrDg5W
oTk+Zx4j7IpCavI4lYjyh7YqDlr0ast9S64xNXP4ooySIuFjQrvuLreafK+KD25gzKcj+z0WjjyF
aANZx+vstZN1mDWyQJcFztEZEZk4zBz6obqGns+H6fo0PPuYszhh8yDpgMclPwZEfzgYDiC5Zups
OmGva2qluXGRDpByWleSQmAuMMmIQB+omKUdGAI5Mz6DWLBsz5Z4MFT5HbbsVgEUOm8hPyN4I/5T
05HNyE39+EtGxXgIGVDg5Mfz0bmvfhhoriyKCMFSm0XaAhCHxBu01BdKMDEb7bUo4qL8lTkz3Ws4
bgY97TOgE1uVJhjJiF0zPlDlNfflpqFikz9NcKk1zXgzYKvjfxQUKaWvCIYrBo/3s21Un8RkmZjd
h7Eb3XuFQ11RAXkgDy5g2SgAENXZE0a+oTTyB9DLvBb8SOzDszzjKUADII3ghcZnrOjDaQZk4jAc
DlNHCDMdGP6LOHqACfGHAgIdv+GdIRvP8C6CLykstmIgFHjq2I5N/5Qa/M5CxitzmKujppISyr93
oh+HhX7GieLLr9HrwUPnsV6LzCSWO+AJNKLwsaizZ9mBVp9MkoYZiDQro/RF5vjrF9eYirgws++v
R9E+GY5/trzYQ81l6JLBeThUgNJ5boITcN4OwgS2way6r5uEzvMSS2Pc2x/kjgjSPATKMHYcFsRu
YPTTDt5vpRwTYz03gkS6d8EEDwIR9FizqbYL6rL2w/Y81xJUHcdJKxbjMU3z/TBNvy0X+sfs8dRy
BTeMbrzgFThL0hbbZpi27kK3GAbRYaXEaGIVzWkarJsQ08wuH8onp/GujhOQaIIGTbMvvjD0uqPM
EnjWBqVubPFcR6fmFPfOA+GdcZvXIt9RIdyvhX9uXPZli1Ijr3TQAVzJqzDmEeaV8eAO+stUEsZw
jTWF3/zt4CPeFMTDNvARNtvKiufLjN1yzqWz40C5Htue95yWkcP8XJRok8IdHyMwqfsx/0rCQt4O
XnvT5r/GQt/13TRcag+MhnTnkxMRPrUDI9ql7niiZlztuPsS7IiTt6zFIziV77oiPdLnzMD6sg7A
BHk/TDcFM+bk1hVjtPd6pJ+wtZ4NPHV5Jq8WN9EDBC+DSFhwHxv1Nc3wE7vSx09hWi+DNvFgwh4g
4/ZbpZ0ESolGSAfJau7eExFlvEuh3g7tR5m3HFPo+Jw9HuG0SAC3WxVHDDcgxUsMw5up9HVD0Nuk
7exmeuoCvKNlD/uAOluEYXYKbrMXm8vwQaOw1FXAKD0W1UE681MUJ+aFGhqMaRiaCO5gdoZrVG4s
d8H2x1a5g2mzJv+U3vRTfOPK4rdbhv6aiNWHUZFkixA8RWmEB8+On+ZwLhE+CneTkAReXGcNx2Yb
hLbwaA7QJagM5a9gzpp7ke47OwpONU9V0cXNeXL7XZ8s1/wlcIYAT3tk6J+c6gGRCnrFPveN7MHM
rI8wp8QgmKFUjrm5KQc5bzATk/ttaBFRJx/S2c4Zf4ocRhgmQxqpt27D4wztjeuJ6cT3uYeTar6l
nYdMDVwIs0QhtnChbDAnRDvZPdRBOd1w2mXCFXmnTDfRzgSSESlsn5Uldu3Yegd3jqnucd2NQwmn
pxx0htbPtp6SwwUT/7ge6RetMtO4+gtyFpKWwtEmDbm1DXJAYJSXwrTtSPGXnocvjIySUHFfbcNp
unpDbe7T3ZKIrd0pPaUF9R4jGbOAEtSdf4Ie2p2pdkcNHfTw/9w1Q+SC+rV/4ZpRcfHXnkP77/+X
fyQ+gr8J28bl4lumhyNF8Jf9A5ro/g0njQuSgeyG4/shbpX/9MzYf7NtAneYHT26EP2QzElXqT75
939zwr/xJ03+5Xu2TTDk/wRN9P7JMGOJwA1AL/KtYWIkG/TXzEfY25PXN7QB2a17qON6b6nmdxs0
t03Cueq/fCz/QxDqvzcOUi+L2muGfKXA/eccFBgp38syBUAXN44qM8rzKuRdHkIsO1T5pfba9Jqn
f/1FrSW18lcO4fJVmbcIi3/A8/LXnzAu+z7sMbHiyavupsRp1j1iRSSSGyStX45SJ2gfzyBPj2E9
Xtry4LjBq26ctzasYakCxl//L9/R/5Cz4TvCi2VZPA64ov76HdVTrWXqdQyv2+wGR//OtMNDS5R2
PWbsbp7sbhXLOpqE/V3q+v8cR+Ojd2kXdHkiPR6y5ZH4LzGfKrLdgfFEAFdC+RuJospB7zTPtDSP
5rCzuvnKavHj6YwRm3PgcCuugyl+/vWn8N8ehkC4TB19i/AHOXT7nxoOIYnmSqqCGbAvEnqqim81
5iMy2zmcb5OJR2Gqiv/tRxfe8tf+5WmA0mDzld3lxcNx9k94yNzWdlLUAz6tNnjIQo+KwxamcTMF
Bg7gVO6itjvTKNers+GmZEX8ZGBHxfVadcEGYuFTI6BIlbZ4AQeBwbSg847LpHmIyZMWJYawye70
obzrGwTQouvDnVsSRk/C/NRY+Taw6wTdqCQxGqWk3jGadDitRwN07h8etzLZjqsQC/9CCfWAQG3+
0Pf7HPWCgPMUkE+fHIKwWBvXJEJJT9hYQ3v9AqeYa4FxLW2mqtMMc1hCPIRJIBpcbC02o4Tmsqje
ViFV2YF2Hlm1brTnQwmfgGgNw84JGolasFYDzQ5Zl4w7RwDUQirdFF7hbg0V3CBoWBdtecxKSmZ8
zOi7XQL2CssVU8XK+ym5fq2oy/R3/ogBNVfhRYrmEcWFMjMNALNsXm2qvGjyzs5jQaLY0oxMaHcl
tFQtbhTbiaiUYAVyk4aKNPSbPDIIHrfdvJ1N48Eai2CNAPg652q+Vpa6ZWb06YMeWnFBaG6isjpP
qfjo4irhIDO1d15jcdQETBRMKS3fS2XdBO0ut0hmTbQspAkkgmA825EVr0CxYUuI4p2XFxRnIwnB
UxhvGj2hhJolGKPsfrD1Napzn2uh4Zw6osVtQxF6GKlfog3CVafcMxzE6exxyucp2gjtf4yhyk+1
bXwCifwxB2IlkwsdDDTC0xCRKHOxArbl0GF4ucFFsEtr12Gwx/2MXxDCff2ZaY+6qJyzOa0a+yBL
g2MQFI++m7n0qy2hGg/UkmHupj5dC6tvt9bCxe/qoYTcbS32Bws7kNyEpEP2mIy5HlrFq+FohsFh
yMGyQHO0K354rsbdyrf7+Z5oQrZOGsNC6XWwVyNfrHXqLoWvOVku2wdi53jLEQ8tk+f0YnLqYUqC
uoydF0PpTVhvZ9hFD+0yidPdggyL/J0OnZAP2+aHGbzmiHzyG0RjfXEJ0rMsOZUv7vy2v/HqpD4L
antuO3/rZJQlOqaN6BCNO34ecTbj7q5Px/BI0cevCBCV6TGUqH1/PgxzALfeSx4Nc/BWdeyUmJCr
O1eI/oCVxMHiQ/i6SN6Lbu5PVkA4OKFYC2WRAxP8l6s1lwv/Ci6h20NBKRvqZ+u2uXOzdtwLgrsy
YrhK6IVGSCOo8JrSTN8UfbUJ7CTb+P1NPHc0ssa2RdVafxlHnHA+PrODzG6MurXvkAnXCOPFPrTl
U2LDhmWEfUksvlWpAL/Azj+BWSSCDat8pRaM+EhlFnn+tD8gU3pACfVDmlTyHqxWx/TNWFYJLHrm
6IKUWqzzja2u1bgn/tbcicjlo0u+GE32e7+peuT0iKZ0eooPLIEOrnDKRDMXpVvaYjv5RDddCLmO
/+7OAXbQiaSczQjvq7DDlBsqK2OvzX5Tj0T3UM0qv+q3XYa/KYQLsZqKxNvlKfLpqCdGyAH8fat5
UL5p76KEmb62cFnkFT+ITtHYPErmd1wo76YRi7rwGcoCHrpaoEb3KDjcBBHkY4ORIT3yOGkCACjj
B5O8Zi0UoeY831GtfZ35BM9T9Wy1vHMOmg7xwPrNsfwPR3TqCGFuNQRdyHHA5tWID67FzFHmODr/
TG/s0TG2EqVrGw90hfZtzti+LraoEG9y6unPmaM1hDsNGMd1SUUYxrbE4kNn8bi1nGPK8GQ9EJte
L5Dgs6emaznxKQqrpVCpxqBCPJh0/NCdZBi9zPz+thU5gbXbsXHM+CUOyIZrSe/an59ACIZRmTdz
o/VJzAO0vkeeZRyWxDX5i/yt8mHqOPH7yMKG1pziXHZBWIz4fdYhpuLdHHn7LuHq3mp33zjGQRmO
e5UDUXMr8W5z0yfpL6HXT7gtmyS6mXwi+0M23uQjcBLN3X5lxmLrGllNbICFc5TqXDH/ARdJwY/m
F1Cycx2dkgckxyvsY6utKt4TqjJfleImqjp8wRZMErgrUpzhEKqEEo0sm3CG9uHeqf37vmTiFsVf
rpWOt5Xc+AsHq06JuI19GfAZDPIaG/YT/7U6YZYDXwbmgwt1rS+1Za3VaDKrB64HnhSWWk8eEyar
awKATnSyH+0V+EmMDj63Ym7PdLJKdv+pkm9edmTzxvqc5OHe1dXWnIZurwN8bv4wXkmF/P2kUCsF
e8IbrqMJGboNKW7983cE7nvcjummjmH39YaTbYuRBlwM3JrIGK5YByuzk47jHfHiTJj4SuvoCTzs
ua8sd0tjLF27DYMMPQfcFOm/NEz/t5uztrjQ+fkReT7Qlx5mzvQrXGAMhky0EDkyVfCDz8JL551h
BwCLudCu2nLex9zaNxWB2hSkHwjDWeO7Pk4hD3col+l4pr/wRWX0CuzceGD4n4V7jM9nadf6XE8s
Jyo3aPywqd1oNdlAE6NE3U6XAT5pEFC2xh3iZDWzd5g7dDm769OdM10NAQFyhsapDGBu2pThvlUK
inmZeo8CjXRr5sGhYNh9+nPYKKkcWpVOA5qm8NG6zW43YGk3PGqS8Eyf4rF/lPZE7mzCFQ3e+Kkn
d46R9FPJIjqGTbRBl44uoyDZ3GTtF154BhOiCRgtInLi5TkMXXLDMXM4K/hAjV/Vmywj16cdVe7H
1njrXPktC/pJhxq/ayQpIU2wKWthf2UOXSqZKGC0mVl/NJktOEx/j2Wf1c6ul2BZgklO+8YTlwwt
AIu0dRUqvWbd/EsVeJMMHCnc30nqLfFbawniDiRyzQkRaIo/xwKMZRZXPNuUEBt9QclMOJwcqyHY
S8KXQpQYTpn/uyP7SyXjPqo0plBSwTHpYMkM34jLUzup20BE72aHz4Dmrt9mB+0hFwmrUH3pl8xx
sqSPQ5McMpvrvckeXcfEO9WSVRaElqMlvewTYw6WPPOwJJttTNuxGx7CJfNcg1uqwwleHr5OHN9i
SUePaIrFkmKd+uZItvXaUZV6tFgHYho67d4nYw1mdNVP+ANrJn0QPXGOT2/VEYo8G2aGTZ/WDgya
M+HtcO7feWSeq15rnnMLsbu7qZa895QOWAjmbQz8U6pNRSx8Jh7uEhNPiIuXxfxFHuBSAunqfuFK
+ClLtqB6SZkzMCwJLJbgbKZ1SWQyCY9Yw8Ex4FSo8hzgif/hEVyvlgA7MXYW87w74zLYp4TcqcJ1
dg2x95xwxh92mQ6Z0dvFjQ/NVBOUx8Z86YqOmRaT/j2YekhkNLKvOMIcKhoZGSNTqxlrDe186Jsd
A/VoFSxAgI7SZW0/IQC4t92CDLDwOfkLRIBKcFS4g0kZZgtZy2HCxamhR5mhMNMo5Nl0xl0orI+O
qaJHsaabYfqOgFSs2qV1M8S03fbVAyGTEZwoZx0vnG79GpmLNIFDqI7y3KXHk9nYoWmi97QWvCNA
19h4iGpABwVdtbbdQ8H37lINimlxl+ZM7rylNbQfEmcTnkaX3z11cBR3GfzYbSIe2JQfaqpH3UqR
gaWM1F9aSSesJfM7iHOEvKW1dFz6S6kBdHccKu9o/jI2XtFCjBkdwF9L82naFg8k6jl7UoqaFmrD
BPAts5liUZraLu2pcYpfTAYMN0rJogXF8I75WM4RGMXaooC1WJpYR3VwNOF9b+lonfqzORr7YBqu
TNu3sSAzk1TvxIeQlwnQcEZdD0vraza1V5h/QNyXRlhn6YZtlpZYL9CfJZc0Yh3uzOgX473YuFgP
ZiVXXq2fnSTkroLA3P7poKVR9GxSS2vj0Khi9yGnxmfN3EAgsfKC5Evt30BsP8lnppIvdV2/xAFt
oM7Sf4stCatfv+1HcLU0HWk2MftujKNzvbTnTtToWkufbryrl3Zd6eLdsGPkYDI3mxIQqEGBHDcS
Wnk5XMyU3VHUuzT22lT3MoTeUW16Daj0ran2zUsyRS5lv9PS+guv+00vPcCBo7BUUg1MaoruNfMY
aLlNsmm4yzsM2ITo96nm7rP0C6cUDdOEh310BFuZUELMM/1dUEpsLe3ExPkpilwaix2/Bc9Bh3GS
BS4YCRNQhxphONB0nJBl7bHgHBiaP/lLGzJk8c8cAbxKXMGgTN2wAz5xkn/D3CSvdqS3Og30MYgE
ho5x4T+Y9t7xx53qlD7G/OWB957rKNkNHVjZMfzWMm7PcT+15z//ZNtHjmblauZYvlxbCTR3t7oo
J24qPumBudwpR33B0j0nVvaSRzsOFJ+NB4KjfIiF+F2FAxYDkKpkO1oY7ctS3fTvvQi2A5z2IGQy
aFaEr1UhNrNbUOVt3hjZsLZ7sZ2TcNvnwQ2gBX6yfC+D4C5VzyG9TMUSgm2XYdXATAwP9FGI/CjL
6fZP4TnWjGDsju704fu62+AEPto+F7WkBLtXJB9xWNkUv01MHbAqbCByMXfAtNoFgEprHKpTMAb7
vmahzNqTFS1Z0LssGL+G4BjV6skwJa8xbjgzyB61zJ/1emx0jOeO05NR+sWxZEPNGq6WLarD1DL8
gayPDd9oL81YhtuuxxmvHvUUXKMpoM/EpgQg8M6mZTNw5IJNAvlb651vc3pvYShsTE1uoMQJNnsT
ZuTY3xWuh8DPj8S7RgNBdqrsho/dSl+xplJ7O+HtTRNWRXdMLmVUbY0AZ085xfDCCpBZUcg4Dmzj
dkzb6ByX8yFk0P2QptanH4FG91kv+OP1G6Ot+JbDCldBycwCevzR4nMHKU6RPSoFo0/1lYnhhW7h
hBetfreZE5nWYkez4HcYeDVh1l0UwHgQIeanQVx8k+dGf1fNuJKsFjp/nzIL7appoq9pYnOKikO4
LHdzid/YD5LbYF4u00196CFNrzqfWg0aTWiH3npecJcs3e/OGI8kPooLQYq7KEigaed9ty+c/AEx
65I3nvVsA1I9JLF5rEtq7HXnXhLVRedm1P3ewldCTmG+gyf+NDoOUXh7CvaeD5M5GTFqO7Xt7OfH
auyGLZphxm5enXNNd5U208PYM+TXEcjMqPYYloMaNef4qHTQ/1ZRthYiwEndSa78Iz8ZfQi3iQVg
QTivSQ/flJQikLAYUoy+pbTqahToVn1562u3vnZUnzS+91RBRJ0wm8R19B2IbN8UNDITlcOmbVIT
qL4kfhkYA0Q/evnpJcM2jOlT6CPUCCinEw4GqXHu1NjIS5Y4R+VoeOqmYJ5GA7e1A8BziNJbgdfb
t4ZbL7H25IVevJnUI6aJaKDCzAdYesxIxvB+gaFj6DO7J3+il1biQTOMfSGrs4qIhfBqxkb4LQa1
7Rsc55X9xLLP5br8JV1yYa3ApZKw6i0XWGVVpwXL7M4zlEqOfKYMrnW/hIxiKEOJaq+uzp5wxs40
kyWHgSkwqxp96aV+nYfk00zfcnT1daF1cMhgybj1dyLj4dlKA/u6/KfBxQcYRFTmqeYYuICbnOTb
oA0Og/T04CXTXVwIAjP0m1YIDuw7IED9EO5z02P3mT+yLrWOahBH9Kb42hjleGkGeWfyfq6oD3ry
HfGQNJPc2fa8tYuc5E+bRuBS3B1Am4/OhqGgI+wrjX/SYTA/+Di1EjutiQoucaQhnreO6z9aVfQR
ALWewF+sYeOx/8KOps/ps3cDa1Pm8ydmibdYAT41uXJd49rgCYRH16EZBBWz4QiWALuPnJsrrkgm
4ZH8gprB0YD30J1IA5CuIE0ffUdm/ySLPbgHRE9D7PWo3s0JDXIx0Y+Rr/fIfF9+V35nJJhYT294
d/3lfy/b33knKSiz9oltvYwhHhMxpt/B7AAChzxDZsS7zClLySjCbamabdu6Z4Nfex/219bdagPR
m5kzg8oKpj6K4EM8LRcJTmtcZy25A+KLGoEnBkpKdMrjLCRwpTbXxHAn9I0hOs5LuDG96VKR3tHV
LC/TemkKISc5WLdGHT4305wdxwKijFX3mOntpDo5LpgmsbS+WmZjHIaku53Dk2k29pk60k2bT+ON
pFMEJ+jiinYXYKrQ9OuYXn7igTrS4EpIs2ZZwOi4nlN6V12wqe17xmkzWSw9JxxI0anb1qJPT3VX
fiEs0ZbJ8kf0TSO9ec6DNLsf27Yehf3kFSh4XOM+48W+O6XITkFjhwBm0ue2dk+G4LyW0Qjrceld
t0aDQY0AHLthtQ3mZD+ott8WNle0yI4vXNpW+Om9c1d4n6RfAehQfrFxNOyp6IM2EGTuZDySoq73
ecUxqI9FePw7WnB4NzI/XBNez07nfgZF5CZYkRsLCbGwxQ9HHNp58WzjswofXAgN/8HdeS1HjqxX
91X0AphIJBLuUlUoRxaLpkk22TcIWniT8MDT/ws9R3+cGUlHoVtdTEdMG5oiKs3+9l6byNlauFi1
gWhHSEA9BwQKJdzjqJ37mTakMvXrq5AFYo8tM3yNU7SLUeqXlDDVie36Sgz1fD1ISIshdkBc2UNx
bVfxpzkV3g4gGkmCiMt7l8MyrIkRpLaFH5gMaoxJmwDGQOMBlROiojyk6TBirqWWtIPyhUZlsRts
mjIyQ4JcL95LfCYcxDzaTSSxbo4bp5jVbjvgwaXEZKpZp5d92rPfpgU/C3/GaT50xc7HxhCbbwpn
Pr/Jj9Bjs/Yl/9d7PikEA/J/jZ07Stg37RptPwe41Yr2wKI35PNRlS3hITyEHKt0nJ9izQCASxb6
z7VnrseOGXG5KVM8SL68Vj0esZzQ08FLbAqjACWbvHIBaye9DA7+Ul6dIJ352pvwZzOm/q6YkUVD
I7tNreEad4I++imkzsJvBMKudegE9SNFhhvOVCe3qO7xJstdrRcapVLA9sJhZ5jiGrWPy4Qa7rNM
7yszdDdb0aP2Wv5EBqpYaJ7wNiCitrXDm35Z6J90F2/ghQBTWZXq4hjW+XeFbYwD30+7R6NOvszh
lEQ8KvOI1tgWwOSNU1Nb72Bvkb0Xh5yB3x66EodErbiVsewyhXOTeQn4fsKbMimPWQUStLD0m2gg
2K4fXdpgOaRF+w2GQGP328uuQkzncz3xELi42owOn5eD7JIvaCBJi5mfFWglJHNL/LOldbBvCp0/
ayI3rbzTlenj5kFsEuWpLFE+pY8g9Xvu93+V92hZrs189r+f/j9W7cdb+fbPwMd//Jt/jP/lHxaT
f7COrhTqTwLHn+N//w9sAvQiKttij2QQzCD2P8b/6g/+uuN7kp4Ih1koY8p/jP8VzgDLs3wfb4Bj
/kZw/C+gj9Y67P3neajgPaXcFTwpFePo1Wfwl2Hw0OaiFhb62AhaNfO7DxQovVWdjwVSzYe1gBog
Lda+YlfY+Xe2vvGcdY9wYlRdaEGL9VQ20bfllr98uL+bpI8eSMoWMJFHvYEMg9D2XvVuha6cjYHL
xSGgc1lE1QlAIhyGMvuVhcqkZ/pPTPToUDWX5+09AZr/qZfR/Pvsne/Xx33IRN02LV69v32/PUuA
MvsVwFMQBs0TeiDZTx9rA0nOYSgeJLy3d64cz1ETHZuag/o/PR3/hQnC+k+IEl+4CjAIv1i85N7f
Bt9x2MOLj3vc4RRHJ00zHxhCEBYx1FPmpV9Rjw3Hide1pZ1xlCuXBcOKnqfZeGmaNcM28GfzGeQW
5j1nXbXANjJFx8FdMHRrZsfDiy7uOkl4N/eodnBck6ugimA6s0AULcHrfhVb4y8I+O3/4G7gCf37
I7X2oTAqFLhUfMF/f32kSk97Vtk3dCi41IFMOrkK6eimOYxDYzbdmotZkHBLf7mWcWkZAY0z33FH
JHLDCFFy5cAF27WJRhmbgioNP37jv9dXK6+rXz6Gf0dNjCh5+nYgFl4dYltX6AVY1EC6+5BAOfyQ
JYHLicHNjq9bJW4tShs3sBQdHMono0aigoyxluiu+4i67eoJLysYNqqm4aKHdIgF3nSlOMCaAks5
1gybrNPCZQTXBtHQ6FPk8oOiHWpreOidGrew/F2wlBNtbHIJjPAlGsJvkhrfOWIsQntxNy3Fr0UB
z3yGUMRlKuUBDwdOPTlWek4WOA/XHZ7bV5eXvyQqC3smL8zUEv/ubIsu5Hp9sejX3UzmcukKXKCe
4gNkfvJM8KM1wK+33qNA5Ua/4Z+OLh8kWiVF5HZCl0VE1iv+lrYH/3tRu8SffzVt/sZ45HpCvKEx
MnxkyOnRzMvbYWSe2GjSc62gMjTK6yv46dxBaN2Jyxh/xGAx1EGwcEs+YM9MhO1sOCwDPxxtLBSU
jKHBfNK1t5KYcarxIzjwoyG2Dzjzvbz4bG19k3b1BSJnAGcNE/ZUbOt6ei4jTmeoEGgD1JomBZuo
jThjkiSgLqPX7FZSvBEOGvmB0RomcyrR8LB+uB0DGR3SJaQqSOW5VR8hlZDixfBKbKjYDm7yjZx3
NqJ811PXBALnu/FPzXjndfPnOsZXDOjKhTePofsy6Lgl1vSfZxHDst8QakAWpPEYTnm0p5IIeWzS
ibfs+pfykZs5klLNcYHd2paxQJjFJVzJwMNwiXMZLCm0bNUsZ5CwCbNway03efQnPnzUIVOABaCQ
w4WGuPA4OhOrE12RXzWDdpHsm6qbyXDwyPl4eOm7QcNPI4YZ1fRYm6CkezzO8+Cfau9N4imMJCgb
41OsP/N/vZqp1S/zl/2DtzkUY8vDNekBK/ubf2wuRNaHOFh4ugboks1LJZA/1KF3+43LCF9lP/OK
XqfYvFu9JizIl2gUUHnQJPlrsvPfbEnskaLJ2Plem6WR8AjZce4jolLuiQACOePjNgQZ65ac18Pa
aj2R4iOvsDbTxO+g/1hD+7uZqpllYfBvF9a9bzuXpeCG7xkXeh6ILzH8/dffvLMatf76zWPgEspT
ksZZXoa/Gbnw5s0F5lf6xhvEm1nu7Mi6X4ODA804m3W7ZLL0EpPs7IkYlVH4qAhB+jAXsxZtEZQL
7oehZ5yPzzLkTZufk8q5TFH+bijm8KNW95Crvr1+h6Hpfu2YaXV+3auYDZU0TpjqYO4W2j2T96XR
L/SinSELvtuE7ke3glNHVHQc4ndq2E+Z8TiZwwWE98v6gqXYlPiSHnJjesmJM45p/u6P5pUa4tNa
2T06HHe79iU2Xzg63yVrcIkjycGW9csa47Qo40wpSe8L888T4n/bncwJZ92F//7C2qYpBAcnx/Tl
3zx7DlbwqHJQdGaq41Oa39uekA/lARXx3Ny9rI+OmKNvV+a3HDCgQQAWZqTcE+12s3vmVpeFFww4
/7u9egwN55INvOIDd2ozgn7cWu5P3Ty1Wf69ZKRt0UyqVWW/j9dvObwF1/v9O4vaFsXZgSrs5/K0
SOq41q/IzuRuLsBIJw73paTRV9LOvnrbPfWSD+YBt9RVjjzcvHi2dVplzu49Xymwbn9PpQCUzaG/
5o64bFC66XMgzruRGfqqQbXQZvK9l3jp/X2d4f7OiLMMPUt8DQ5lqVnFHILQxcw90DUOZc8FtJ4w
BNAsv4kMWFLc7ehjQip1JotukmiAKlp5N9j46XEHCrjF3cwRYTFOgiEUUY4o6ODibMix0jy5dqBM
v9tQIL+fiohpRLryAopuOOVu1mIwWptUuH0DllrbVWxqVlrDGKDurs0rUGHJSoRv/trK4qz9LFNr
v2PyqnZx+TJR4BJazq/f5N8YF3y6drz0a9vLGMMysZb8bAkbgSg7M3mBdZx/phTF+IKH++dgDK/T
2iKjqJNp0/6ZwyQnOXSHvFC7mfFYO9+WRlWzQiJn9cvbAIK49Mh7kTm7Wcof6dpgowXnkqSNqM1L
QpC2Wl1xEv+ZUnwj4fUSNhSBXoz2SP4bVgMdXFoMVyvNYaKh8HeLztqnw7DLg7YY+4G28V8nTk4U
pyS1uBbx9Bxa1sadY4iEiYmASp7OjS8typpYfs3xF7dbGnTXeh97LfrBmf0A+mDcrrAR4SxvqoI4
lyTOV6WQ45G1yYqNRwDx6FPLV7wWCnnVCImWjiG6186CyTISrPzp8Zz3tBH1tBIRzUIAWhJ6VcIK
Jpu8Tcb8wYrnYFKyvWJ4yuQz45OaPmAYeo8YA1gQQqlCKixKkezBo6eMS3dPX1KGurrWJ1WrbVys
jUr9pal6gf/BLC4WkChBa5fkpcJefgaN0AF7rwNyuS6aAoVNM81NLWgqvIAn2K9UnjExUQRgOUD4
zVVFrQqSXcSy5PvfnkHor3KN6xU47jdYW4xIcwXBs2Er2i6IW36NTQwKxhUeV9xpoxUUDhA6e2AD
dNZNRo8CRxjDrp7IslHNqWt7AzrAXqZ181lLu8qHIqTpqIt/ATGKt1Euiw2Gigdbjoe2QcLL8o5a
QNW+15rBINh2js4e425nyR+0E37O07h3WASOOUHCjUH1FNNVUry0ClY2noy5j+icK25i8DXd8tNN
eNvTRnGezmkpvR8tGYayFjvweNemHIEOzQaRNKpNKONLifqMLX0dzLToI0cEmnHsbrRB/52OOSQX
9fyJ2IO9cwRtp4io9iXeplLfhLoJMWCucDTop0Exrodb1P/KHvhZVsbX2HN0odz7IAXzyw58CtDj
fNNgYdiipGOlYE2iR3aVhDCxqD7a9741Ifg23x6Ffcek+MZ+CnSgMc4G1sMk8rIrp7J+AvEIem+h
dNdDOTQpmeiTV0kl0K6vxvtppgraoq4EId2EFuv0tz1WFfKj+qGFPLij+2mYEf1GHf9yRoweBeOW
LuVhG2ISt7qz0fPUKvWr66IwJSPrrTV35WkQ+A4KCjzF4D5mxdJusygJwQDM/h77SMjo73oNb1Ie
dHZE/SgZ4ZgC4a6pWXd/dzDHMygBQeC5ObUYq/B/c9h0HKSbWX3JjizvjBPMk+XdNDuPJGyOi+O9
lx3BLtImN7gTxptEUdyLQtpHjDDsIj1a6/mgrWt4RrDUelv3jGCZBYzQUVIzvTar7lrO/bv0dL/P
KR8ygBeM/uDvnYFVMfZh1cem/9NJ2FVcR0CDXnv9xhQzVTyVN3YbagzC3GPN2nxkxOvw3mQMHZta
Bj7oj4ng1kTXbcL7oW1w50XcFa5tr4fBHXICS/34oCzigFrQwZhQ9Xg9F+Z9o/r1fBC/e8vCITL9
5HSFkZKqkl3bpFC7Gmu8Gm3smA6iVYjXmsWP47XXim/oOEwr+/4wjfoJtlU/FWuhNjNh1HzwRHnZ
RRiFV70V729U9s9z3dtsMZMXRGVDyxlki4yVRcBaagt6baP83hj5oCqf7luQdGNKV3dfhIEjsQzn
ePVPpSbxRWvsp7P49xlwht0gyRiBGuboRSl9m4FoLJuao7zEO5kAWzQJEVE7uOstCIZZTMJXqOZa
Z8VwyeAN8HZRL9LOT3rJBZKIC5yMKgXcxjEH9KJmJJ6eNaytfbFCZThVYC0/yqa+7tvGpjMcf04m
WaJy8r4ul3Z3ImKpn41FPNfN/drvHFbOF8Xlj8wNnjKdJFvJyMeu03t7kZ9q7Vav5vpOTyrA1Ldj
DP8z7AvOsx5nyog+qWTK+MZzrFvKx6ENhts3vFuvdAjecywRFtt9GaohMMU3TqvNOFFCMbhETbGk
zxhFSu3fyL56NrinM2DO9maSPJl+zuPaMPdy/Iv220AtqEGZUT+6k/uARcvGYOUtlKiVR6dHmWxs
JFkd99t8qU/o/N2F28J2hgp13S7Rq7Mm4muVQE/smdHWBsWzqU01GH0X6bYmW80ixoOQAljLeg4g
THQu4KpANY24H6Zi+agzc0/cDUf7iu1qbRyirX0XjY86i8yriRMESrUl7lUprsUAJKZI7uZ2oH0M
s43davJSGUtw00BwTZgXOJArPGBLi0N7m3sL+m3ct6FBNXPqnGHO4PUG6o0XwA1ci5biJp2LgPW9
DrKioo+V3OsWFMaIMQdXOuw5luWM4FhvbkaHsoTCr4KCimfGTrwjswm7nrbZOBZ6NwjiV2QANFZO
A6l5owf1Naf2L4hzPcgf8VrEyVPY8Joh/qBPmzsDmxE0lPng84rRgXLvCR/iPCA36mqMIDcNJLet
S+o14GpLzfK0uHeErVPaPbR5XFvPM5Wk59EAP/ilBSVRHMppGyNUrTSoGwchQ+nhbbSyR09V2Z5W
ObzOU3HtGyzNXdeRYpVsBXiskPzw9RO8NZCt5Pg6M0q5Keo9Ny+9aZRzS5+hD5hKclNJb7RT7MC/
ZAExNxqQkpWUZpm3lQb6nQxr/S7B1k3TpC/mQm6T2UNNBmN5j1x+m/3jodWi3YZe+67J1W40NrkT
Y8KA2hKTInO6jPF930axKXYgKLZlZFTbsDYjqPKA8X3wK6MnEkqrJuTv3PgVpt7718/Rl/fg99g8
h6XZsyzGW3e3a4n8bueeAsbccKGPxlvzHQrAhzV15rbWXXPVSI516Rjiqm8wI7fNO7UFVCzDAU2S
tMXm6Bzi1sa2Y79LHcvALma6u8Zrxy+B0hYQ8ryWUOsyfXAtHvcDn21reO2r6Xkk8tVxtIqP2bQL
PNjejjYSHNHzmy7TcEcK0yc3D3o8qbnSNDxWegZTSa587lfEZ6HvnA4OQi1mXqH5DfV538/2F15P
osJY3QnpkxhoGZvZKE3mskOUBUpWmLeZAqhRNQmpr+bkJMVDEjLuTnAylauO03J0AJT1k3Rmehtl
IO0ZlPx0ChAEldVOO+PeyufkQXuQDdJevaeteSwrr77makeYtOV2LxhYXLVD8Tq6PWuGZ2G5ipGY
aPmWLD0BkYk7/DDX4Q9qCM2NiHMRiJjD6IIQ0A14BLRhJ/t4JrfEhI+opMdQqRhxYEsUFa/hsOn8
MEtFTVuaUWMjcb0PbHauFvuwY3xCGPZaAuVgPmIewG2Rim24DNSCI1Em7nDIPCwjMzwtQ3ZP2grr
GUNdArOVEXpMAGRAti5vcO9L7BRoGdF6jqTrs977eECDxmETMXX80PpUItGl8jw49JTbYXvXJI57
WtKUCygMNKW0e4wQQYknUEpM92MixgkTcvhUeugIo3fRHsO/jgnfxjHFYfAl5FScp5F56HmRMVE3
XLfwnWwcTmlmP55BQ/qcB/15Z+jwTSxk1IEtfDtc0zCkh7upwkAwy/lstnTllStrIjNyfDG0PG0s
mkq29jo8mgQEony5LirrsZVRoIvufUQA21R15Tz19RMBVpvxMm63NA0ih20oD+8nQXe2XXrUu8GG
6lnSGfP+ygb7wTbkt5XS85f55bPXYC1YQDdvGptwMlCAAOzrFAzkIuiS9SNu8iURooOpbhKCRVej
I26Sin2JHh6coOR/shrX6jTbMTGc8T6zVL2tlC8BZ7eHdgC+EZExQTOncFPGMYYzGVh+8jFPrVp1
OM7tVvow0SrCoJzSHYPi2kI3nE/sx0m39h6u/LHX4Rdc4JYINWFAYorNaX3aU6v+BH3u3Y2Nj/XA
XDYUtpJTEhsjOiwNzTDGstYJuydZ+C8h7A+S6WrcdQqnZE0YnAMob9lpfcRKUhjbpOLl+P1FpzxH
tawmXJuABuz+uVbpj4jT2Hr2cUAGn6H3mydAnA+WTVTTyJPHZG6aMya2Ne/TXGmkOcagaO5i8h9B
BhdXKrc+ERAvkWPlB6GZMY84L50x+qQXddia5ZeY0jAgAd9yBNbfTY1mXoXFtM9BgBNQOYFere4M
lXHR6AlH2WLbZNxJsyxfDiVAH+T1+2pAf68iGr+xuigHr2lmlRUHJyhjiAKcQtzqw2ZVEH1ycFIH
xd4p9jpkbN20LH0u2M4AtcwOWoy0VPilt1YYTtsOtOwu8qd30/VgedNooELPZLaEMuwvPJxGdR6E
lwRaOo9cQgcW/pQeGXxjMsQYFjsvjcrzoLHnBHKNCvhiXpNsPCautwQzBc8zttT90HQwhwAERmyE
TsYpp4/rZxKPsIMX94D3g7Nnkj7aaU+zgA9TRN1B+fBoMhiX9AiiOqQFCditwY5nV6SfWpRekDgu
lRNJme8Z4rO/k1siDfvJogbvCljy3JvvmJ6LwDYJ5dlz7x0s2WvM5gUwvYUmB6uI71LyB2QLNc7Q
kuMhB63XHnqy3SD0cskP6m65GrLydlAMDoxspGPTc/a5ufK7U29+btvpIM0kkFU77eehf1X1jvnv
netqzH15haqg+ku4JPDZ4qy/MnocY4YD57JMb+0B1GmR4dFq1YlXfLiDHaExNrNUpA5Jnbb+CVd0
vY1FfDDWchICtyO8DWzBIyjNwfyhVYs3lcV70/bDY1uTwHE1ZWM+1PEqYYHvIlwLsf4W9kK2LVrV
z/oQKQsbR1/85HJ2mRULlbB2nothaUjL8hq2GMBS4CGR8EsG1NiBKRjLhm/bbYMYdNEmhg8ZUAxx
yynx0tFe2jgJbFzLfpzb5aRTxc23Sw6FB+N8NLGE4yDsNpaJmWfybl2VTay69SOcsAHDPwkkhkz3
S5wmB9c3Xpf0Y85+NOWrUaZFMGgcFUkaFbA4OP06KxEE9nK2nN2IPF/rN0EPfQ6QX7cDZcBZDu0k
z4BzGK4OlpqxlWMyjKqNCBkvkleD19DcazIgRQeJZ85tGoa9QRDGrRir2AbvFBuMcpLnz9h7EEwW
/Pl+OvzoxXDUkbftgcmUoYP8HrFQZfm8C+fk5yLtB6ee3rw8BsoS+tMeE4PYWlFaw+wt35LwaULh
XRoIq41qg7JgygjBoF8t6itA3TXKU9F+SrDjbkG/Ly85aOcRuDl3X+e0Yi8qq4Yt3ow2MPqRr35q
ERMilZw4JeOvYpw0ceInlOWae0Ax0WYq227rR0VztZjufrKmjwze+rYsvOTIOfzJGJFgCBvVyJxe
eGpBqqg3ZTUZoDeWklKm31Bl87aJEFYZrExqXluG24coLC9TkeAvTpotrQbZyc1Vs11Iex4yXwKU
Mimfp02mSOvhKhPqEfAMlp/C4jOIiDzTOobiiE8oE2FxTr6zZJWYIRcvAwbrhsnelU0/w8aa532i
15HfgKLUjAm0Kcc9aoL/m9hSL4TdsGY17oG0Qg3axr6ktXyOSjs64Rq6qda5s23iVYsrcZkn+tyX
gpHwUvL0YJc/OLP7rnOX0aNdJIcyozZWgdwwNUmvFmZfZDwavgmvB12sy+h66FXBaCs64phCMFrb
pNL1xo6g3zADrKQpoMex1dc2s8cxZ9Qvlbed3GLNSy40CfGiprX7GnnTr9//JE+wuZoPecP3zYmW
1M7wBIILa+VaxgrWmEAatySzJoflEy/DQjzyCrrxxzIVNIEjK/0eYvlJ9VWGXNn7kGmei7vExmI3
ivIl78uZHKJi9LltIyNoW5SMOJteMbPyjokOIh2sgIYqgCyrpbKzARkXS4rdzU7fqCg7x1kU78Hy
fbrOxNG8Nfnz3kpumigEeEZ5NN01nBQ9/7QkL3aaupD/aUWPkuTU54R54I2fhBnv+zJih7IZza4W
K0a2S7oOk++FG772C3v9ChdtOhwMg4GaX1XWVYoPecrt+fiKj4NbzsL362eIO7Kyj77mx4JcckxF
dZfErHvd6kv0qlNplsS8Ul6JbpzupK122h743BPzPGhVjBSZezE7PpY1W4sI6SIorS25sjUwzxGA
rSZJokczxUFr+MuRcJm9rcmFH7DwH8QEoTMZrdPiT/WrmwIH7l3smpnO9t2EN6kqcoJ92SN8gIVY
ab4HmTvvB8eOWbtwUIrsnUh+dpWTSuS4pubrPlb7pezxFArvmhwkWOx12GmnOBAYJhsYmLsfTc0R
dfFZScn7uExd5pLssVx62oKz5QoDcfA7LQqx3d+Xax66tB7MWl2sPKOyboqfRp2d1ciccuRPAHPT
ruwK3mtIU5ndckBc8bigf0DFf8ObeV+3WyL1An9YhcfgJBrT2UcDwxEGQjbw7A6hiIDnNq/rCGfw
RzXiMdCje3S0/hrH0qXsDmRRtsYipIepihDbseY8DWoZg2jYIrgpFK6U9hRkwkpudYa1Wdq3paCC
HPhs45YiwCLT0tl2TFiNdnnFWMhb8PMuuYsdliNZw7G0a3hR5rbej9lEfqE6G+J60LRPUy6vt9GY
Be7An0pqk7aRui0SvMazzJ/7Yr77/SEHRzMHxWvXyvs6YoH2w/Zl9TUXVgEXP3tvPcZPHessGqD9
mDLyGMDVjz3vfAzMjCTRFtMyvKiKo0Ca7MzUOSQGwz8mjuuQzMeVs6mgKMtOYurW/aaEjYZ9V58j
+gSNCmrn7D9SNMrEkkmlkWqLwUbOuT6zTnNHo0Sokkvo0xKpGv1ph5wZrHW5sSf5nY/1vWdLY5d4
5k/b756SBcqFyCcZkK9C8FkoYfb4WeZJeIPX46O1GHtxv7vUClPLTDl3DJySDoaUN4D7WKrmxUwI
XwzTeUgirjwCf0xXAKlNY+4t7S1IjaI+wgq4I+1yENl4S9fsmfazk184p3VE3I3q3gPkm1IAmADY
cvL9qo8S+fMe7WRCQZUBbPOom6+jpTynjE02rQfFdh3Z2Z1BElFVj2aUfa9DUzgXp5wu3JVFPCtM
Ub59cB3rEnbTJWFQ+6/nz/K/GpNiWBIeCCKT0c/fxqTgk2vcmIoRFk4Bl9kzyu8L2+N7Wsj7SHFT
LCymMUZ1Gvt+vzjg08p7EsfvSVjjbbX8R6N1H/NKHUpX3gBjvimX8FyCDhIsAFX2mtvIoX38Y7aS
H7Ofvf/++v/vWgG9FSfyL6yAzVdJGqsy/p10/7/9+2cSff3VFvj73/9/W6DiWcfHR1KXhQI8yp+u
QFPgF1wNeSa/YhLjD/7DFOj+IXwb4o80lQXPZv1i2j+ZQMr+w8FDKIRAD8BJCNPlf2EKNHFb/3UA
Lzi5eyafzDVtJvDCWekt/8SIaRsWZm0S6ujpwVOZs/ZEcDZpivBZZ0iNHJTGsJ2v/JQNLutpMfGK
X2CzdkRJuytfqacwyR/6luKjwm5v6ij7sZYaCUddpX1MEaJfHbpIfVmkFgTcn8inkIH5XDC56FTc
6ykQKqzq4JIuYYYzpA9q/mC1IF0olgfOOWxRrUez5XCJsvmJQP9j7XovBJ7fRg+CPMXunEZGdoLs
2QEot+sG276aUvMGxsi7Ety4wshhP1+cMy7HhDt/UtQNgOGBX+pqIE9MXjKPzeRQddUHAyX8i47x
7cnpaU1seDlYsjR9YNJ2Y+Wp3Fqw/jJoMKz7QuwcEgFMwsaAy851nZDb8kJ0Jmeqnou1DTjr8oMx
WFton96Jqp5L6SJRNcOdo2CWDehMtbfckyL/mEpBO5IbnUtv2M1N/OD7QPcpkidtaM1vzaB1UA/e
1/TCoZtPjL0OzTDj9/Dke6P14Y0dSp9VwelEBxztOAuQL+DDJCm6Mjw0d5USHe38ooxmwll9MMMS
nGD8manpSWea1AaZRRKdZ4I1UGTRz8jzcKptq/sxrH628lb1or+CBDI38irx3W/+u2PZuUoEuPdI
ORdwJw31TtabL/vkNDn9nbWqFUx8q73t3XRLQhABVFmWuuOuhwjeVuG5KFCmu67CKZhah8hwTp4x
rSRG58bkbRJYIvzheGHANKEIhzfLC38QKhLAXKKW4EsEYNECoJi3LjK1i07PEWtjDwW3EMq5tqle
pXhNr01ZUpnpeZyxyJr9KNZ6gYwRc8/ItfdoylFOeo48LPqu3+6ARa4brlAnEcoGMTLX+/Q0D0PB
KGxpNqFgzwtzgp/OVL7SuQjiwEH4LxlzIQhY2g50RVyRR4Q70qLYST2+8yQfmmvhLh/hYklOSd6d
0zJOC/PlLAFnnfsBP73SJ3LA/OhbuyggG75mTXKUnrhFNPgE0suVbVtiN94L+vsCOWdvYZe+Ahgz
91avKLBNua/FdIUOZLtWVYUF4GWg82zrVrqAM08phsNRa2bScZg9CP0V/2BeYfjkaABAih1UHuZp
5WAGjZThReLhIZGPFDkM6c0s1xSwY9zICrlydql3Ugkaf4xlMnCsdtc5FQPzriGS4UCmhWT4pOtV
2ZQIr/T2Xagkp266t6+smfMmnRKBGT2DdmHiq+HSGLp2KTKIMsCc+hxL2TKIRM+1gUBuqcDkk8aG
vOala7ZWh2jT1R2lJe51NKIumJCklRXeLfRBs2UvhE3cndtVV4tuIEhHP+mN2LrdcrQxsfSSCxsz
MjLBzPtMExijoa9AqN2MHqjZxDBQ4lOE2NTwn91K9HtW+27rmbwPwoHvsAfWAToKgvAYO+cs8egA
CoeT6VCUpinRtDhr2UWzWzKu2H7LW2uszQP6WKDctS2JemUr5wJcA9ZZuhRKbuZ7gZk5ZxsFgeEx
p9Ksmetja9S3lhT1qvQ+e1fYuNdy7WHKB0IOyVsYUqk99e0DhUP5XSRfW0TYbWRWPrrhwO3MkNmx
98o7J6WtrYq5tavOqujCS7gRIxKEHWGlGK9JTPkEfdToXeJgQMHcIX8Q7c3Q96K5/pGN7QWZ3Dpp
g6upwI3GYsibBQjKa1U/22aPbDRaNjAJeAQ2jGaMshX+Ci4NgOhosIYv/itlQZzhHOEOBZ5PtLP6
0BmPSC/lsGPWWs/uLfpMAj3bptyk4ELkACcmL75Qc0ExXVzwhE7d2viS0c1TOsc5LLdWUmNVMsJt
VNYT+dvk/XfLiEF7wg5Vaiui5LbEHrVNluFn0gEgs/UwbEwX9dxceEt7nsvYhpEXBU3pPh2wwQ3T
OyisW8KB7DTh9BBa3SdA2HF1TzB9oG6jnGUd0DYlt2R3uT9X8l2PKg5iYoITLQPplAwnpALXUN9D
Ce9LL7YFT+CcpWx2jB8hAcwx4F47vyW928ua/pIc6Mp0W6C9wis6NC6FGxr9pB8eZuHf6xCbcIaj
NyKQhxNcZ9u6m+FyLk9y8OvDrMk1qRzmlxz6nx4CW+GMtDmtHJfEyOkqc3i1Qf/OnMrJdqaG1T4L
zpDFQM4Sfb5EonPMC6ybp9CjulkKKtJJ00IOrrtLTpIFuja+lKjae0Q8/fjoGLQv0b3B9HtszX2u
G5JN6bGhYATOvV2cHErPkmoIwqLQBy8UXN+xPt2AsNHRt9GOE6FhUTBmQzRjsNjsrTpWtIQBScmX
ndI+NT0pPVlLsDTSPFAXA3WolNkPFodXS8pb13JeKMd+tm2/vvW9gvs/t8MI4rMZK3lypnthxK/C
COfN0GfvdK4nSBGwJxQx6zii5SEd3tALAFZXzRutU0hHMVPrBR57nQwfjMnq7WzBjQYlAtfDXB5J
cZMtwIZge9iM5p4eW2dkgcbPMbI5qBB+2pQ08ug07TPuCfJp9TGdwtsFEMjKQODv4IcPnLLnx0hR
VZB2XblL1ac1OF0wZ3DDcNBdU0RWBFaG5aO1fTz0vRkfoCN9MVET+zg0L1zaSmbnl0bUzbGwMWCX
0TPf9rWSAhkwddj2GMWwkfYL7UGALOjp0YkMxjUIZpqvCLr2nvaMrVwstlIt2HaYO4lwQndKabvi
No8TLsNeRW8bTScaKtbMg0f8v6MmjFtYl6bvlBdnCJ3JeQr9t76V081M91nqY/36f9yd147myLWl
X0U4N3NFgUETJIE5B5jfm/S2Mm+IdEXvbfDp54vq7qPuGql7dHsESK1Cdlb+SROxY++1vtVA7CjG
odl3OaPK5c1NGmPnS0DTZfPhe+3zWHb3tDKZEEAzQs4RW7iMTeemzXVEEp4mmmZYHDjOVqp/neCY
QebDTAxpelDkLNmsQesqTG6kP47Mh2sokFFRbsdA2Vi+wdbEYSGu0iVI0B4TvsxGgNV1O9vujcim
s805/IFeBhAlkCZ4pN86C5IV4Cvb7MHbxjzVCXEIaMt5xO7xtMCFCwvjNNNmXWVlciGYDZ0qrXvu
slgdzIHFMMbzS7xDwXE2ZXN0/Ronb4Xvi47lBUbbBeOiaT3C6RW0L46+8j7HtnphWjhuw7o4YJ+Z
tpa5IBjyB+swmZWHfbq/GNNjqFq5I4b2uR90D0WhkfeD4XJMJ+RXjUHK1pPlIB3Fw3E7uTljB713
SZ4Hr1WbuKLqger21CtiLdoEIdQIzpCHxE43dkwEJ1zZbyKjGEurk1LlsUd8h1oo31pZesdwCA8f
MYW72CYJJjR4ImmQULPnwEvoTHU0TJ0qRxkbHqA/8ConTbUdqBrQP/oXi6P8AzhE+k4bCYmC1YCm
vd0Ft05U7rs+t/aTkb6W4x0G0umDyp+qi4jX0YqIDFtQzhP5sWKroZQw0Ek3OGFGf8IVXETBOszz
bDvn6UduFhI1jyEOAWmNE7P7TYW0F8BUfOtgrb9A9DgVQULfi9FtH9pITIuOQTT4yGEa6VrU3ltY
gsNITZwHSC06yP182LK9xeH/lJcw7Szjgw4Z8thmJJvJ7BiMxXO/8aQD02Z8rps23Xuke9EqUrw0
gIpFM9bUpS0nbitHWIdWtWXG6QR6FGHrh8WXJzlZ1sHNA2CVyL8c6vmppOeeRtQ83CnsASY1hhfW
GwcfoipHcw+L8+DYpkFG7eCtZh4HwjAO7TKDsXPBg+B33RFIk9HL37tL8sn8mUY23USEIQLH9khr
auFdEplJdE3fH0MPU7JKWQqqRV5NvdhWCeTyOT2P5SkNvZDXHnGxXBpCVqNkJ0GMs8/bu7mEUNY7
Ftw+JMNplmwK1473LSedoczywwx5YQl7BmbBnVlJtcsrq9sghD7aYfOtZ5K5nmzGPR7lK6bUvU1g
0t5Lu5NveNDS6HalhXeR9TWVbNH2973LYmqXtsu5tX8lPc64m6PxMhnmk/Tey6IDcu0h9OzJlUWi
R5pJ2JOOi6xp78AjpNnXtltaQ2siDzZFAnA+Cgn/LVx0IFMCwSLMccjM5TxBsjWzfWacJZbjE0K9
YF1SJ5aIANc9s0bUhFs7xG+azGAmiXiIt4QNrSxVnoNkXgmnGPcTt5jEMbzjrR/vJJK2NZy6E2Lr
fFWLiXSiwbxMF608L+Vt03gdbSnn1NbmLlnsy6iHNE4uSJLKrwEL8n5YZmud1M2JoQalO2afi8Sr
N71O1sKDhTllgVjHQ4OSrulPUVQojh2wJ4KY0t4Q+ZkEXUQK7DGczzrsFRXl3VySyGfUN6nBhKST
AOMz4JeJxJma3uVTdteYFsDUack5tZIc2TWX5tys80xcNw2CfmJBmC/pXICu8ncw+z6MTE9HR/88
FgiBKWxPpdPv9X8DL/7EhYEGree06xMJhG/splJknKTwQDCKIK4c31sn8s/ZMjLg6uBoAvJfzzb8
jqHOd5MIrdUCYWXVTg3GiLzhYa2nbdXhyoUgsUqy5eBDFXCzfmBEOjrrJnEhpEiq3dQipkIif0z8
8IV03pgtDjWqE4IJbYrBBWZMkFWFKYDsETw53fsUu3D+UWS3DQnEmTpbejw5d+2xwnC5MZP5bVDf
CYP1t8L27FXs1ht6dPVpLOSXvUC/9dP8ruIMxNnXP3hZINZha1prQHrlltlACe5kp2S9R3l4NHTQ
bTjYX1w+UDK1vIH6BvWrC006Gr25NevgNZgDC8Mjv2pbETElJ5uVSt3PRDqu66TG1wY2hOwnl9eZ
5BFOsgTYwUZZiQwKBX5uqXR4UZBEOxUTzympFZhADqvCYkLtTLE61liVLcv9iHWMh2WjnKd0O5ST
Q1jdAA0mXt6SltdocOW3giyMLfIn9hRyXp2MlIxthTHd8YMVpw/ENvNwaixSVdSGHF7fRwJgEjQE
KmoLWQrRAhm0O7uDBglvK5fhxi8Z40oLVAOJhfUAjyNyXrOKSIcJwmqTPhiVS8cjCzZLGhoMXwsc
7UHxLDNmD/ghbzq2g4agxrWH3qee0bE4St7NDo35MVzuyG9199WMZszUtaOZXIcdWVLsIrz7+fRC
Nt2tX4otlPyrBsl91o7fwi5aNW7onsPia4oagUmCyEqaU+vK8E9hb0X7JiJ00pkUb1lDursD4W9x
9RlIvvlhBnk+wiaCOYJZbstMEH6FIBASta/7OmWI9BQcmxGswWSgc4fYX6dOsx17TJGD+YYuPt/Y
Q/AKGPCDwz8KmQNyn9eAjHmvcFFiqTvHI1dNZG8pB4ghy04ui+pQFzpSWL2lGrAhh9ept57sVJ0h
vcABHIw3wkBz8zpIPCic7iEE1rRqcnVVCARTdj/fcLO+z6Z6ciGvuuhNYPqsIte0rgcPVVsJBYc4
q51RCJI37O4g2vGQLSwubbGcUqkOBU7IwZ52eV+f6IGpre86d00knvveuKI5+poj2Le9+jGKwydy
nMd92+S3jqkHLVV+j97iuopSDcTalaRPclnqC0VKFL2NoTuBKwIPsqDHcGPk27Ea2YQLdcppfqTz
/TI626F+Kgk9W5qLBWubcTt3VggkkuzNpUHG17rDfQfl0+YAMsbIgf5n98YdDgt/1ht/LN7bP0Ly
7V++5dd2uP13S9qYhgP+HjT1Jj7DX/vh4u9Y1PmCxF3oePTM/9EQt/+OOALPuu96SE74vn80xHHd
S0t7vbF6e7Zj+/9WQ9y0fvbJC1dw3vCF5FO7UPz5FL9viBeN79KrZTWiW4XcXt2Q4Zcemwp+hBVx
ErSQy+8JJ1ktdC/XM77WU0OMyNGJ8TF05UvQHmrFaT6sgtuJhMkVaFak5DNluWsfVCYhMg5XaRVh
x4jrXRekiqpAa9/A2K492aSbmhYOfS4cojzxvYUphNjOT2v0biIF4m2IJroggsGqZcLXx4PCm208
Micn8SQZPh2XzNNF6+PiVr3OGVzTLu23JGmQhuFRW45mP1xysNswxaIKnYHcpVkV71rXggRUpiOx
rRoESua8bxBNG2XiK8vzxwqDmSXkQ0JqHNoWM94tUwTYBMbrWBKDhQAae81Id9geLzs6Phs4E8F6
biNbl7LyAorhIehJh5d+cS9LaVFwoyjsQ0W4NxlP2NqQp1pD9tUk0YGIHeuM2xEEHtt9MsKsaaLr
cbY3rjR2bUYzG6QNEdpxvolaAoen3ifltEzBskrDO7u9dYVJ7VwSVTbkCh5i5hJmQgQ21ehrZ4YX
YYh8bvKdXdGjTI86SWsFHUmXu9Rl1O5uOJx6k1H5EA0pzfoO+J7VXHcxrpeazuhlPZ/NGbUoJ4da
oKwUex7Wg7CJ4OPOBLlMD0DKN5MZSZZvoqCgPdU7oIHmReqj1Rk8sYkERTz2dPiLI3jNiDiQzBLR
rho97icEOsISyZTrHAIXATel+ykJ5c5Ch0zDYBUG45tTYjUT361Wwso0gIottfFkUz4YPONYfVr6
l1GDzz1ERTgG6KYF0B7uKo0U+p8N4XUblNxyTXraddjQhis2Jmc8clk4KwaVQfBiMAX7RdGHs8GX
kXHFiGNMoerN5lY57rSPl/LghtVXGDZH8uV2tOsTyC9ybbbmd5qD/r6U/neSKbdTn3KGmJ4VEFea
uCRGW6J4kRLaXUVBtKnYUSejH040SdOTmQud94OC3tIgUx3lHgJbwYg7fUPhKpGua5flYn56IOqI
IObAYS71dTMGm6ADtJoAk1t7RuyAg1TxZWCZVAXZvT+2l7Lq36vEv9QgwgjIKijqQm58s79XS3+E
ngNPcMLlpTz/wpXjoWMwsxhwhpS8RqrjoUAiRG5kn3dw/RYACCLkqVZKVy1J/ZtoTMU+EQWp4NVN
k9LMbzCX7QpE+rt+6b5s6rVojq+pTlETtFpZRVNNZztVl+hBmT1IhKOFiUo5vJhsKrG2pmaShUbj
SwvjA9duigZaYy2X7Q78cgsLprKPCD9fcOX47Kt2cko40wpWFVCRtVF1a1wMF05JFDKuGaqv1t93
XffZXweMFTiF0o4sdDM3aXBiOL17M9X9Nz9HRDD4Hm4qbC4qbOA3MWZGdxSPe3ISOk6YyBxRueKR
QVo2GyjEPITxFEXqhCM4wD9PZdgla//k2NRfhVGH+pppcACQwmryyHKjuk2C5HNsJAW/+l4Uw7sf
BbBLrfxDFu6LFYQHWY3REZoeJWqtE80HVrWMyHE5UDhFxKwX9UVSoPqGZ+3v7Pw1m/e+DWynsbPL
rOj3VsSoY86CUzymZ1Nx2LKahhaAsK+a0edfI5vNFlf2iJZ48cvhUOIMJvllZ0piFYFdHkYiPzDm
JkeeKH5DVT+RM0Yrs1D0+Ig6MvLqXsQLmChYdhhg9rQUeo5NZNpmNssWxC1YbRp/gf9la8VEE4HA
wPQUsNX4fvaaDNUxjLDJOlgAq8D5IgTsday11wpLHHh6ItXKmN6Gdx2OdbjNSsT+w/gsx9IGNyK/
D/wFg/T2WNl6YGjJcJNUxDyOFJWu3V3RzZVHci63UF/oEyXt98UgKL5Q6V3MIG+xILGXHvmaKGq/
4jo4L5YNurR9lykVkWzJ5Euxwng6smlAhFlh1gCEWX1gH+nBtybOSsjkGoPWNozuuTh4fmqemaTP
X6LsA0cAgw7GTN0RSSQzkB+NCWR9WQyTcniweLzPljU9aViGE2Eg8dylvS1zLFUm/DdOFBx/o3BD
AxLEZtdtcWDXV43WXDK2P+mhcxfkerQy3iszJ6X3MRm1NUnOAAwmGLQ8waAWYy5PlxSnJbHlHunJ
ocHtmozov5wAC5IxYzMs5QS7sKKiNn3gHLXnfE05J3e3poLmiL+C42Lilxy/mWqID+jhmEjV9l2U
YelJQuMjbOeDb3AK87CLjEkzEjaBJycHhp45PJG8PHSrJNwouttdYz9ElgfWtL9yRvr6fdhxSAzl
XecYj2Zi+gdOOPdTtJyT0CfeMqfdx8Zfh+bFuPB69a5zFA5IK9k1zU5F+AuTeSDE8TGxlLPpW1iu
RHwlkFnJNJweZZHd+csPveiBv9DdGLSp10ExfSPDbp+D29snLT1taUakd2buK4jrvW4IHX5UJ9Oy
bYssQWPmXwTPA/PDeQ4OyISNreOYYHcNKHeF5FbUUmAIYhY4aTcerjyNDvKWRGAcldg/spDePwQ7
UjGgQXh2QhKod9vj82tZOU6GibTzm4cLEGMcZ0AmEjsU60423kYzhkHgebcZxZPASQhDD3koTvfJ
ql4t2foYtysiHIP2SVk0BrQhMdPWRFOi71FviL/EvvCqpza4mHAyNjgaF21tJGPsezLHwH9DGuKO
NkBWltzKZZhOPvRApn6s77M2TA5z9EmKCueo8I0MgY5D0nKbapNlq+2WhB6xjGMSpONmO3tR9Lhp
sWd22CvRjeujLd7NqQL3SphMyhQVX7Rat9rm6SbLQxuR1dIDPN7kbq67u9hWU5D0ZcW0VxlluyWV
+jnSJlJX20lHbSwNUYFlOE2FtpyGYftu4kFN8KIODYfzFnfqMINZ7jS+qS8ocLWFFafeAcVGfbng
bmVmsjUK7K4C3yswkmyFhOS9whGrcMZ2or5RAXgnUPi4NZyveo4hV8c9rQd8tTH+WoXPNlLvMUYA
tj8MuOAkibId23e8TA+WEhc9Xl2QNJ0URLEgRN1lSYgaWg7duquQcocj9jyCQdMxLzH+rsOmtw4D
rmBH24MpgtxNisx55fquruNgkg+4imX4Mml7sTUcem035qx8N2oDsocT2deWZK9ZNP1upv7Eryy0
cbnFwRxOKaSf5hga7AVM2zcuXudmWLJTiPtZ4YLmwegOjfXVGTS1e3zSozZMz2jidjCct6Wtdi3t
KCyQUJ0NgZMhl2B8KmS0K4ELO/GMndOhKR9Qc9Cap07Xlu0QOXWmQdDEUKdHxP/sHHqkjhwMVh16
ZlSnu7a5Sma07VmLlEbbwXG25bX6JLuchsAPw/hMVYgPj34p43kxALhTryTO7TAl1KTyMe9UheVB
9mPVMktIQag7mTssxqnIU6Kd47Md1P59cKJbWF0QUXOOi+c+cWjf5pe4HaNtqx3vNdZ3l+JoWZLt
bLCfqbpMD/SlgIH62OXTu17759EXUJ6FmN1nzPVgoXhutd/ewXivzObOyHDi5z88+UH4kmuTPmb9
EIm1XHDLoD5FCYCbv5eudjE+5hGTJC4TXXAJlIh58U4xoKmhaXh97+9HTQqAUAkhIC0+sv45TgVp
lCPKwoJJ07iwZ2AGauyW4BzMSGl1nRCIWDbVyQxGokdIfimkuvazeaYHQ3OkbehdZZ1xF0zGTdu6
qzKDEFkTEhroZrNGz7bJZ4NJd8WcQsRjQ/2NnyYI0Voo8wSX49AYOAiWvoZ2VF7zNho3GvU4RSit
mrJ4IWWB04kHPXamFbOJqJZCIgFQbbJIo6NZhRNsXAF0uUPztOEsFWwqhdMAYxOYeTuC0845pDH6
qwCp5SZIX5l8su32SGYYyrVLcovq2mCIB1nGBz+z5uP2hyG/58KNpxzuObOrgDduwnpJuC15HQgr
gImKNaAUqh6XIR6gbVQbn2FkXbu59axcdBpW3TOzHi8qd7rFczvtaONj8AfboBtSS63MXRkvbM1r
nnF/uwzlByiOa6sr5T5rc7IXCEtVwG6DfnZp0o+8zdb8jkaD+Bh6jhWkBTV072h8j0EnH1zjRwJi
+9gv67Cr7tUs3wjdYJqbj+F1YWOwQoys+UD+aG7ZYDmtzONjYt9USNCSkXqqHSpFqmgar6tGHOnY
P2BCtovm++LPL3NtXaawe9LU3YZG9UUOzmFuh3ubpXebTfIZUhin4uEqwpdoUufhRNoq2exRhq+M
DjeHIcgVD9uvWC/PVm7sphZ7nz8vW1Y9B48JLql5SN+6uKXQNAhf9iAa2EFl0pBiuJvRy4XmGs/k
HfSMXL7Z0v80s/AzMNER1Vqq63r3HTlJoC12AafpPnoeWTKwB1awqf2DFdOCTuyFk9JyPWpJCsHg
0nT5RRKsYuKgEhLAMfLfx1g7ZMskjE7nfmLIEwXmh0m7tA0AmeRe+TjYgvq6aN+IOeFoPLsGnG6b
PA12vhvh+odQtFC5vA65hAFen3Fi4TCaiusaFeFg7xIW8TWSYpTaDKwG791bBKTO+ZvluF8EafWb
3Oem0Eh4wfUOjCwIP9NevXUSUR07+Ix5jKMLvQRiv7XhioG8QQ+ydv0UUrWptMkaTsDT/+i2HLZA
D1Hwv5asPr3l+dffPv/X/6m6/u33YtVfv/OX7pxHTqWHfQFZKv+w2Ad/685JsijhdgW+RENqC6IR
/9Gdc/8e+IGUfBXeIlUyX/qHXNWRklkj/2NK6E7/hliVT/CzVpX8wMBDsOryF6KD/kkFDRMcT0JN
ULd0ayJnUsDZbmiq9UgAzwo1dg8/AzYIQeL96N0aDRpQly3hx5AiJXS81zaeXOwM6tdl42qMMfA2
zJAY6MkFKd4MlH8lMeZkC3vYsMld720kQunZ0q8LalZV1+PGS7qnkQEh1Qbp6BYx6YZHXnpaZMO6
ZppStQXnOYA2RTq2VzE6CRYTBZiB8QFQgGdVg0Uikr2LcIL7amp3BNo+ZDq3PfPUo2oBVTRl8F4t
sIgUbT5U9g+K0PfaZ5mOnfYyJw4+Kvl8EVt7qdTO4gxhWhmYIZc5S4ING6XhKxXhpwdZZ6MDcZLR
ZBAAxT8chvexrHYt1uZzx1R67cTORUZovR/l1HLE2CudZw8HlwmEzrjPFFN+bJmE7JDxsjciaheB
XYWwFYP9jfoNozAeUJbWuBfHGCEcqmLWtuQri6fHdomJkXDnU1hYrJmpxazftFcg+fFhQ2xKy4Kg
A2d6tOk/cc7AiD4SujOjZdAiubfabp+N3DmVA573JfXWdhdftNYXtchZzE11jq3wRsq6uELnkSx0
HP1mibQ89WFq2Qbn+oyjkbl8Yt1Fvk8Gz4R40e+1CrSfUecWX4aNsKud8xdBmMK2ZVPEtped7ca8
wsFE/5Am4Sl11FH0k0VNiaxHk+rFWBtQLRI9OKb+cphgZlHzJl08fglBatjL5n3qcTtKemJEZjWE
wnfc2ORgTrR1OTwmgbmsUdXiMqZXvWKdQ8WyJ6P5DctWtfOCR51IBwbI35nT8jbABbhcRImPa3on
/VkUzTteSPYqSZUK5H9ebOIixkMZljw45WBt9/xF95mDw16Bce6q9FoRBELPo0R/TJRMqYFvcbiH
HGlvxEzFldMQZDVHe20avCMUwDPQaPAc2ZitMkVB1yCSdmSmVsQ7fXhD95ApWhKxVzLnaYhHTm7V
wG/DRP+tA6WxUrPNka5+7sCWr2arRuFlZMU+sxGqlOFt6dfvra11cOj8HMS6XmjeSMssuWTWazp8
zShX2CJMcdkNSmxqL8ZW3FTvsz1+R869imxln9rykwA9BKy0u9d0/b6lASqRDEziZKuJDchG+EwR
UFfhUTQ6z6jkSNuCSKgVB+cs3VeGRtcgU2fsX7iXWZtuE0R8B4sIc7y3MJ8yhyyXBSfySAk9+Oyc
EZ6gMfL5DGOK9hb4RGVP5qHOLTZKwREzZttaJlot0DQnZwAbNtBdpyC2UJCuPIrZQzaAhVx62mOt
/dX73ikQ9vvM1YNR1W1nQiOvh87bdNIdN70geIFUZ/RZeOGAtwCvQF51TBqaoW1rQ8jH5A7E88kG
JusYhrxIm2cn1VwAdIAgp4tH6gKEAoaNRGHgbax8gSKlJvTaTL9oz+enoirfkCM8+YuXHAVYmVUx
dncdrnmGbwnFpnDW9ky6h3BQM41vyuHJMGcQZ/n8OAE9k9ZX7PafXHOxIdav5CgTNa/1NG+tOdSF
MYtXVXf7gHzD2xzIthEvO4DCundNt04S6dJRAvJBX12PNqftBs+B+pxa+ot5ZdINNpBUWvKToeHk
rQekFWaBxZa5O5KxF590w5VrIeaAkLQdZ4mQFdyZiYQtdgdm7fJ+8AqxpsKhLedc2q4e1JB7iusz
73cIM17pRZyzqn9NyoiwWkSLGDNZ/PH3ayVD6fI4pv6OgJ8VKqtT15EYas8j4SMukYglcFKa2Cyr
KaWpwpgIljveOL6evqgqJp3EuQefSiyMmJ8BjRGql1UnRGD5pimmatfooYonIdUoedmKtCO2Jthw
gMXKJUS3a7o9B+n6EqkoFs1hg24VUxn8033T0XccUYlWbpzT9ULu4zfhSdPkJSAi7hInkNA9ugqU
CREkrMi15K5ggE9SWJvBSBZhhoh97QJbNGADbbuK1jHO5GUdEOK+BVFIPMZUXQkbfYsD1G6NppdG
Vpts7fEdcbRDhGwNtZChxiaqUI7KWt0iv4rvGmntfWGFrDy0PPp4AYlRiF3qd3unIqI+s+DY9e5z
HU/WsZL0bwFWQfoCijClM2fCmP1N3petU61dnzQaxnJ9syYcrUGa7H4NxsYLpheMaEfozKCpC3lP
IkKwc0eBEtCwdv9+mXjY3m3/t/ZCfRA22SZR3P/XH//Y/fLn6KvavPVvf/jDFh9Rr26Hr1bdfUG7
4lt/wWfqf/P/94t/026kXj2o+us//+PtE9kZT1PfJh/97ws9YqDtPy8Rv8qvvvon3/Lfk1th4hEK
bOG4notp6LfaECcTVSEOJ9s2hR3o6exvTiYJ+ty0qP3wrWm/El/6rTR0qCgtbCEmshf3x5d++91/
hWtz2f41SlTXfr8DiZoWU2UCpk3+D5Nlz/qJ0BrCka1sNTOXM4vbmO7j4IjXgHxnWTO0zebyq1Ti
I/8WtIT4xVCVsFTKS3+aUT/BYmqWXx6Mf/mBtG/q58/j4zdiIu0w89O2r9+PkWdKw6kPbObAHRms
TIoHO74yjeWIEX9nGfM9crKL3xX0v16Tv5VDcVMBRen+8z/EP/2ZDq0gLobLjfjpZw6jnfnh4jCa
qLyrrkzf0xiZcxvWT1LPdNpNHdraFkWHg9hHQjf3te3p0NKrcsQkie1mDEJI28bN9P4XH+1nm5m+
Pb7EaYaHkZmv99NUHfHVgD2SykGI4tDihWDMRRcduQsSlsY6dWV4LQhSMrAu+nQZ//zH6+f8/70b
HBs8fJiQ2MVPP97LWbqbDPVoNOl2azK9iiScEA/S9Byn9Kp3aJAguiq7ci/MHu5okx9IQCLYC2EI
/cMV45NjoADSFuEb9u49lt84Dg9+980sQ5CO6gME/KVTEHAWQCcdxEUUv4VuvXfT8Bry0oVrG99b
QdQr1pQmv/zzX1D8ZBD98fhzPkOy4PHC8Sr+8XHz66xtBRazlecqVyMpT1C4Dl7vXlg5IiXizFfB
rD4qp711W3EkBYt+WQtcvQ/TW+xX70smCZFA1Txk1uuff7h/dvEDYfkSk6PwPSyLf3gVYi/3mw4G
2kpVDOlb4R3jPH3X1+Ivfo79T+5yIALPpiMSuK6pv/57L+Myus6IQoT92bkscV4zwTqoWusKsn4f
k3XrtN4VBgtnQUhuNFtcNxcj/jNX1k/NfKLeTm2oPVMF+ErKSa6d5uDV9FM9KbiABC0NpXY+mh8O
tSl347HHViNmsk4RPUfeuUjqK4fcmk4uhPfmH6UDRinI1iT3Apqla9mQldr1oCzDzjsiW3qfGRdD
2nGA3CB9gFsO5btMXyDevMDhhfxC+qsCV7vwDP755fpZ6fLLM/O7y/XTkpmmXce+zHLBkOah78Uz
mYxr2xIXieI+IXV67i+oiBHxOTjvdTqyuc4jm5EFqL68j45hmm+UpuCTbfKUCnFa9wRtMhF5cppv
wpnvpgVsei7+Injgx2Lx09rqIM9hkRcSR5ujF5vf3WeyFG0VOgVr/WisJ5gDKyo36AsdWBPk730l
bzzXpqx1PqL0MlZJs54tqnAUYBvDaBHRVdkGqnFXGUhKw/47mClr6i7dgW54EwEjDwF7jcmwsqnq
rNojqJVIa4vkCpfwtWZjSXhR0n3E1ZLStE0gj1W0HQ2wLpxRSY8Wu4AwVx28Fw8FJCSxioPothDh
YfTqO89K35kIX9E4AWjYbBkSXjtN/G6REEDuVMzc1NiUiXHnzMahGNW9FZR3eZ3diq5H/AjhNKhw
41cS0wEYMYGzO6NtK+Q5aaz7WVRvDlbxyun+KvLB/SfLjF4/+Y9LF4ZAkT9eeWMYZAQvxkdFae9E
OBsbWpqv46Ssmz5T28atn3nF4jvTRJZgYS2MMWFejNFAIa5Tl9XwVuMj3KZrFLsVHsTev87y8LHD
zEJqHEfvzL6bO474bk3eYwi4JLI+plJcDjK8aUS7peuaQokM/eKLZkd9LrBh0TM8Zq6X7UzT6dbx
bSAO7qSuI6MAbJYNBCfY5ALaX07OjFUfUjxsZByFmGMfwK1v5omktjCEyhXtnJEYr47qspuDv3hu
xU8LIW5udh5qAU5vrvQs+6eFEIS/HGaAjbgziwNQty9OeB8N6p18RG6Sku/rc99tgVklOLSd90Bq
wS1P+jFerDMy879YL+2f1stfPg8Po4cv3KUc/unzuMQKu7OfMOYixYLsl9PQkhDPYqR5Jf2BXsfa
5Ab5RXJauqc4/RIp9GtlbWoAoAZqDI3j9yuaWk/jTiC0dtxo25ntXhA5HhrnmNCXQafFxy0HGvLX
EY47Xr2rKufCsOhAgTP9izUNsd4fN4Efv5SrUfICWoJruT9tAmJp8oHTA4TlwZQnP7qUtnoQM2GX
zAcW4gGc2f3utqy+lktWt4x9Joc7hk1kV5n2OZ01mWuMF7odDoD2PYG1J70oRtUYH0j9vOHmEDCP
uw2k1DGA7pem6W0UGzyvxnmZq1cbcGbCXD5mFotfqmGG0XMqnzZdxqBV1PZ56mkUAWKo0e1tentB
qIOLZF6YnXrVXiED8HIswW5ag7y3ARy7zR0cREItS+OqTs0rEjOfokjdBgXnzwZSHFmnFFMiPxSD
WPf4ir1CXvnSeMza4sgjdKJlvo20Yaa5qzrMwh5Ti2GqdwBP3WCnUu8YRDhpGFIrScRl3FnOzsJP
GtkmNsAFAcCAbiUBu1EM/S0//yA4c8fOw8ilZjiM1epUNoyFIxOuyetURpeQyE5kyPEmga5Z0uUZ
O8+6Tsu1WVxktIBSz96HC2dXgxkNTinayPd0pc9tU26B4e5wBlZgV5hQLJgchHevPU3o/c8T53S/
BqqmyqeUzTftLJT3eC5ctIpevU2jr8hpd2UCnciq7knj3tiG81Jpl2Qf0EpVjzK1N/7gXPT83NT1
WSsGenjTgfpxRQLA2YmeLLKrC1DMhG1v/CV9rxjoDfjkcvxxPTeSkBJJt6WM+uMIaGpKvZeeIODO
E6+T5SBoAje6GCtncNj6rwlhOITMV1q8E1N8NJz2bcjdEwa1HdS42yx2zxnhI60Z3EEoOU5JequP
28OXPXsP1VI89bSfZ3Cb6GM2zA1PBYwhz7f3QgAe15bJDPEf5x2YXWfiEClh83iPejDbm927wTh9
A+7jU3oZtwt5Tmi9dmih7NG5QkkP7z4k5oXigwzmBbmJeQznUve7eKLyYhNwCB84/5vFkdn4neDS
qIwp7l3iB1eBBF7Upmc363YgI4B3t92jGMiTKf3blCBsmlwLdWUB7BMUrB/tpfnZOuq58xqOQiDi
qp0K8y2Ngg0cukLN4DVNHHVGsAtG/DhdceEyWZvK8LCgQIxsOrwkghNZwKDNe+Bl3U/ed4Q5VPbx
S5kxjUO1OhCYWlls9hhoTRJv0NvSro8QnGCGAXmVUOSBW9rTozrPJmjsnPssrSOa9Gen6I9AKbd5
Q3Ztv0njHK1a454axzhQvm2Bkh9hyW2bib1WVg8O7O0CTyjNHw6X3TGHSwXOZcsQ+ZXxNJ46Y1UP
/nsnIwy0K5sdlIjLm4UfD1ZvbzErK11m70G0Lbrm1AxYBtDkhZW37XuF8dU0vpMK159gYH4MhYZd
5QXdp8tyVGQnFHW5z7K0OfG7Ag0z0hkNCccZxAXr2nH4edde9lRhNZzfonoV0o9LgFna3XU4oRfJ
+2tTXsf5vquQIRQM9gPfX3dy4EFAHcGqLTgz9oAIxhknexPtAe7tWAtoDz11dbVDLHtACvWUc3f+
L3Vnshs5knXpJ2LBOBiN3PTCZ3e5y+WaQtKGkBQhzvPMp+/PorL/CehFLxtIFDJKkZKcg9m1e8/5
TkRmPPZPFrKdQuzcihw9QXlShuBNwmFdxFgziOGrMoX3DcXqEBrroYhXmk6T2JSaGM78OLv4aBay
nCy7SP8SLdl3kcLB7aD9tLxpH9IiHjHMtlP1JxivistnOMVKGjamxnrbu9G+pAs0JZ9xUj0DvEB8
i+G9bjtedmoKLn1MG6wa80MhvGe0ohisvefZo/c41ca2/bsy8Q3MLyv/mtMAiYf5GssCI+iXO4NN
Snzv1SqhNDMBShY+Aac9AfmiH5DUjeauD7trHQqm+H+o41kIjANtT24wQ2IeYby0nMrZiPxiWTVa
rwF+tRrkmr/EdLPfKFm8+lF1qqqPEYsdHdKVjWDAqyGcpR/Mndb9GCBK5Vvl57GcDoGPPM0T2wJj
RUENFfpXgqwxPb1U0t7jgj+mUfKjl0W5MKyuCLyUzTW0+quwCDMJgfOKdwhAJ1Av83BW304cbJsh
1PqBVYvxCV0o05ARefXFioiMmomxTlA2C/RldrtvFuvk+8t355l3HhM6lKtPkX7/S6+451SOoABy
CzyzvkcyZO95huFi61wPcsIS8SSa8JfrkQeO+Q5LH5C9ZCuseefFRKOy8KZyldlEmBti5/LQqMV+
qYLk3AYwthAAhaHikaaHUOcHyHHbJryGvdiSnYEiXz3bGPTn8D6U5VUsv92WuaCzgWFL6omxGvPi
XJXpIeYQVlkQZahwSk4uU/jdJ28DqydSk02Vb72w35QOMnlYeoYltjESb5i7rKnkkknzVDoQVuXw
G2Ohwq6Z/yigawDSh7caZl9TvTFDufULCEm7OwLyCEGU/K6s6XNqZU5DdPhuwnrnpAwsrDl5YXgC
O7xnr0l4dNr0tzMb5jFFlZsP3aGusx9YGPupgcww9M0eJd6t84xt5YhdLtR1TnZ41be+yX7EbKVG
QMEBnWOMsdebquuGl0DJFy8xf6G5hVUHCyXKrrIrgF2IXwCNdnacrGM/342zucsr6HwlTt8xVgTd
7mwHFbJwTvNSvQ6DdWdXwVW3QDy/wbzb7nu5sItjCotRetswuLhzvkRBSkBIsCqfrBKjoCrti3KH
J8ZbH1jIMaPjVg4CRrqtYp/JerjmWdhdYmURqwOXbGQOG6qXFn8aRAqowuFVFPbFmXhzl3pve82e
wI/NFI941cU3VUKCnEYx8kKTizWp+vSS6i4Uri6Mvs06J38wB3I8a4KrK49QDj6TGYNhJe85bQnm
herakBXN2pvaPHtGegMofJ6d6ckL1DFbsgMZfAd4R/fDqZcWoJxTgkXKcLbuzMpO6OKUNn/wK+9a
c971cXiEm3FYeusJwRzTp+DY9MMGm8u6WNC/NEfEP2Q92XdGJEEqtfu//YucPwPX6cLqUESPC8G+
sKePIYC/0iWhnTO43kw9x66ZRGLcZciZlw7BbdmhX6wL6PxfHY+95NRpgp8efOQ4mXFk+HMHKux1
wGQwesbBi8QDA8BzZlCtpfKCapk6GRXI2Fh3DdRh3V0c3Il3ZFo7hbkLbBQi5hMTop4aQh3xXLw6
U/pag12dEAxA2L9ZBcepht7l2k0sTOxRucdoxmQ6BBUTGse6WtxTahl3MExSDmDtg6ynI2EhOKFH
RHVTI0mptXA0e9so+IzhxZ1YZwmlaINnrDAMQtCaY4bjs1N/xeIXQ1wgIvkXHvDznM+/yVsAUcXD
OkzWIexfjNzYjm33bJNquSBjY2UIrbvUrhnWRrjyouSr6v3HaJ88OVncEFUjLv7wxBwL4EVPmzTI
b6rmliBgtUW+mYS17yd33/CeLoqywg6ep8q7libqPfqta9PqbxXa8DQ/4Dxm1sh+WnRiYH40v5lU
DSQ16ZKuJtuGYDGt7UyNfRzVm2YqnwPsKNFsYQBePiKOWnTcL7RzQQM1e9jvyFI5x5rIwqv1oMPv
sCeT6fya0/YYLD2mBN3f+L+9oT2iGz3qpq+MO7zUbO50CMuFlg/ZAxc1VGuTAKp6KLcDJrpFGNdi
Tt+7YvloUnh8VZp/5Skx28AHtzAWkF/EZPzxa6OzVLyzAO+NmLD5XeYY1zF1aTTShmOuQxMkEN8d
E88VZ812hKLuKbGraa2NNGQaD1OmjtpNkvwLhs6HmTQYpc4uYmj0466Frq7jQ7Ppgux3Gt1W957N
mkND63J8NjbjBMZvLF710944FIpUMGgV7i13xLcixG5ANm6VLD117Jxy+raZK+d9hcAz7xVT82Cb
lNZpBDAbuQbF76dCslkh/EqWCpMHEqcuPnNFfVUNO/YzaMXOz2R/ZOpdhc63aJOfZXIecPSeWxNY
VJFdAiRsnX0nPFLCIlbKZuMvY7xRRfVnMATIyWllNVSIvjF8xFYEmmEQdym8zSatXkqzOXupL6Bk
ey0eIdqWrr9Pe2MbpBks5PFWCHwfBrjMOEhvzoJNOC/daGub7jbzZUi0ZegQ4TVCtAzZcYmn9Dbu
MChYyojSWzu515qQY0t/DGcP9KhihBFF+lHE0XiIkfwieyZ/8JoZbv8wRmtwdpJ0z9Z98NKqP7q1
RzrdMt9BfSArChb5QSQqfenChcNW1ry4goxjBL0S2hbXug1b5oz6j2GHCrLDzJWH3vuIHGJTCe8Y
1MmXR8U6BlFIDcl1qDzCLSh0HuOO81uUV6Dx10XqAdoIDapRt/hBipJw0mPXhj+LiRPfnixMspcx
pxHt85zawbgfwyjaWTonJ+/8I3m20JI9kl+Ug9BtPuea5ugQK924aUUaVIJNj2xFpkfnhTywJrvx
mG/hnbxJ5gHsK+0PGGV4S7l88jrnbkEHKQzrXjbWE/LxX/7ivUwICcoi/EZ7wWnb8r9koW6cCYs9
Cs5ko2es00KXoc69h6irz6pTLxy/Tu1inzK/JJqmZbHDcBS2yx8RDyhXjOI+Hm/RgpyX2zmmvKHK
selrGNcmkag/XR4eH5NiHRwHprjrSYSfDgW+PZWHPjyGnVWuehsNeweGf4Vy9F65yJUEIr6eFigo
lGYdVu5ZLMiuxzj86Am2InCHQ0QHLmDh1JJofMM08Rs1PDhvFhOlDbP45ynkMVv+2jwCWnAOrz1V
9Myarg3Wlo1YwYifWzBBpSoeTEi9G1NKIoXi4SDa4ELOgb8i47wkI8bbohqlEZOKH/rnZz/wjZWZ
D+du8RGakwjZGt897ROiM7GfONL/cfEY7Ufi7yB5X822Ai4LupABCLmKW8Ns0QMHd6UT6QKFMIaH
Cc3xyomUvXYaisAw2aeDIl6VIN219uC1IXQlZ+7f4MezFPvMBXAXmxuc4N42T4tXB87UiGPtyLk8
51SCb+hUpNGzn3OsH8UevTFcf/Awvai2k9OR26SRPEuesnjnzdkU5d71qj2OkHAd2Wlxs8zs22h2
DJRcQvLeHDUDyMCG3o3uzEmBMNpxAMie0wUOZPCJ6/1P4CS7agpvCgJ/rJLftSpeORFgQ0qJHIJB
0zUwvjOabobrbRU9T1o6Athxqu5Hx9vPRQQ8MOhvsUweGxJ24BGgg0utm/B0XJw2QWQhPPcO2JAa
xic0WjocCn02afU0GdJlCzTm4A09L5Toz21twoqpyrv6YzSCF8Odj0kE4pbdOZkjDo3Juw9/p1ce
y+W7UZnodUhWF4bv3VOSZfvSdQ+CwDSjfCCv0UTSAvYVpPEcoJEKKokOHe0B45kzmjpKg1gbCnFa
yS9HAgsgdz3ZOFHHNtIKH91IjD+mWM9ec6uRl24ZnvO9mhmdxYzySnCa2jmQr9Zwa3XL72UuqE9J
9kNPmyc7bf4PXdp3o0vF50wU9R44iVWHjmxnNNAb+/mj66LNXKj80iz1kdOgs4m7r8ENlwdVgZa3
FKwhy4JFVg40tBzrMo7B77gr7zDXlEfzFxfm16xodmGfYXZE4DP9PwfdfSm+Y3ecAfvDTqMCWDmt
kx6cRfzM0vnSuLdSYMD0FBjIRgzF2poayBI+xtFJVr+XjrZuMSQHS7sv+gbKpyhvFP/RNm26aZVZ
4TkaecDGAZQZiuhrLnk0gnQ+wZ0YwEpg2WrxLK5Mu1+PtXWmY1Va1cBJk3QzFbaPi0VOJJZanQHF
mRLv/yOSbyyrk3xsq69UOZytLIqSYJwQwvhP1kC9RBTep0U0owe/aR0NMcMMHmpUYhA6K9FcFnuE
rgGuhrSiU36rYCQYf/y2/Ww9nDt2xEvQhwuunJSQMrsUjwuaK4KLEZfV0fjUzSZBQ8ph7x6dYj9Y
wTEN83PGgpf1DryvmutV29o5ye+g/N94pi5mGYRbjMHmOlkg1EX4lTZOduKINhx6/HKcHeWtq94M
YTIcKDTtDqXpVkUgrzNMXLpOdY7gwfCzYtgmamCftjrHtWsgJeIbAc7W+Zu0r69Z/Ej62peqkfEX
dfJr6m8gsapt5IqcnNDqmuftMRmpUwoX0uJ437T5RZU0dRQhsJcpqR/mDvBLu9Dm8jycgdK1gEWy
h4IJjx54p2TSiX1lsac1YfEpRvcYUJ7vKsv5UFN6IdUK/ZBywH9xABmSDq0c3eoCwkQfj0z2xvzo
4XTmSAQnJ0Nh6jX8mLneLcRbtDr/5D5Viu1N5d9DxRl16ElOIoYEEhfgFzFrS1rh3i1t/tDlDHQy
rMibJEXVVBrFBe9Jd2x0I32KzG4Xlsi13GBiV6q/AlUhglTo3UpA0YyxRgYU3kznfIa9RKMYdmxW
5LsW3SifbtyLDJdyOZrkyrk2wnBFNIU1aKp6CNeP8Vi4rp2m3wY0u/aLnF7KajTvHaIl9r0O4kIR
dRwYUb/GIT60ohYzBnM8vIlm5OFAlPh34ObpmW6QtL9GJYztvCBwtTVlLwK3V3dIWjV/jyqbpB+Q
fI1m84H0v1lAshBj2UZLb8bcW3UeUGBewwq232BV7wvFLRNp4Nvkt3WJh3sTNGHRnl1Q+PeLRCVl
Z9YPlCu7cvtj1xp/YpCCc++z5njOF0e/FJkyebXlTINjBEVYaiaho+mEedT8DtXw6GluIZXTdQZk
mA7VW6bJhiTIIPcCdmhp6qGl+YeuJiGivqe5tQy/Sk1JXDQukTwUCmqM6V7O10EqAqSe1vgxgvVC
O2oCu7iAXwxUSDfSMlaZQ6Zl3VMYjAFXpGbcsHYAOFJak2hRJ/HOFPLqNztMngM9FDYhbfENx+B1
AKzS88zqjRVIx0fVzpEm4kCMYxV0NUuyZjPCgzFpAlRFpon3slBDomzFNWli583p363bDj6lMGsi
hLPqKekQl5ZLeZd0vtq26GoBU5Iwzxo8YsDqewXQH+SVzgZw5FBywqZZKDUnswOY2WhyZqUZmvhP
ffylPChh+Y4ALn1AO9I+6mXQdIyPBOjINtFUzmzNSctVr42sqwuG2WvSQPBMNcvT1VRPC7ynNdlw
5eiM7bKe+YdmgDLXfi3R7rCUZlgeeIlnkw6bJoc6yGY6zRLNNFVUuHsRDGR3MWDSHg+l+aN045ga
DDBJlaaTohFi0GnCiSqEesXzN2wiA0oVT7tg6m9dkDU2p8jfGw7LwBiV78HEc0pls3KBo/qw8WzL
eB3M8rvw85MCoio0TZU9cuPY4a2WjaYWZOcO8GoLgJXszHElNZO1lqZ1Vy1Bs8oy0AaRZreGmuLq
gXMlmx4Qgya8oj8PccN0gsPvix1PxYYp/k549onGYLpuNCk2Ahkbk3dMcsb8IpfQ3UrNlY3yeNzV
VrNlxEb6k7bKUVZZa3SrLdnPAYlSHK6VHV1GTa2FFWpuCkhJ90pWwIM13dYP5q0U07EOuaquJuAy
+3p3jTbZwxkKVwaY3GFI8+0yRVwKELoKlO4IUjcGrUsnY1w3EcfXLB9o9xrhexDGn235Fy8Hm5e3
MCoHROD+b9MTVwK7wT6+N5ro28kNTc+kro4duF9Tc399AMCcAG1kmu6DsTDDM4EEu1He3MWaG8z0
blpJzRKOdaCItNnT0x25C/1rh0I8YGXhy4CIS/AIvmYTJ6RFr2LU1lt7P7vQiz2BPSFnvH0cDNwS
gwHZUNOOJdjjPK4hAWplB0Bk9Ia0b0EkezbUuVJTk50afnKqScq1WrhQmq5cac4yA3hjBelLrYqh
26NAXkVAmU3gzDBPEtt7KkA2U6pgb9skg/ckqbM3wO4vbdSTUznIY9F51j7ys49A34d08s59He1E
bI5MkwmPsaR3MudLqRnSSaibrap9CPDFHbFqf/ZNwpCO7mKkGdQSGHWkodSx/HGlOFFbSs2s7qzr
AMJ6aMvbZE+0WSpzVeW8WkNtnwfNvZ4XLIDD8GIBxCbc+y6d96XmZM/S/vgbwhemMLQXYNqRpmqT
G0DGBSMJIhTyV6XZ2woId61p3CXtRDci7qzVpO7stbPkn3aAaGYD8g5KTT93KPfmyrg1xDzHQL9H
Tf8Om/y79pbbCBY8LpOaqflDrjCN5cl4n+Sdd1zow4kkz/b6OBWX+Wvbs3yVmjuOp+uOzWrcWHn0
2xvpfIsRThZxwatmChgvADCP8+xRATTX1u22H14MiYxaE89LJ/vONQMd/Me0TjQXPdGE9JoHfh0B
TbfnvfAcwOCw1MuigBkR5V9mvVwiMcoT+4q3HQmQ8cadq4nsxJc4hxZIew2s3ZHt86iGl7we7nsX
BQcFBSBc+O4Czb+cvxvNfScgzKYUGcu9o6nwTGltjjRQM2igf8MiBjcgOMI6f1qTaZdmyy9A5kdg
88A2n4KwuViNGa4ZHT0iHn4xiTM9CYi5qfmBWa44BAljjTGnuO37U1yWTJ2Ueh0aLOtOwdXMk4Tq
Ar4TYfcLC+2xlf2T0ASoRbOgMjJDtsnzEI8bATwZYFTvvditvTXSp5y1ggPBfIrBS7maM5Vq4lSp
2VOLplAtJQf1GjAVCN+Yg+zOqcFVjSZ5ll3xVGYQ4+26uE25P4A0D39ZqnpJwV5ltf9BovB1bu1f
bDqPs+Zj5WjeB3uk+Y3QPBcHwxYnkUBttkBr9RNZzWFh3sVAtxyL5CZN4UKS4lxb2/6z5BDPJl8c
7RIfnZ1cerqhlivvwTGwaTjpZwmYEA/7WxYgfaR7NXfilYDleW1ncBbIN7za4tBUP1U+PZhzxhZC
Z9YCnRGO32a6fMepzUANhTp5q2W5R09B1G8QPEjfPUd4hJkjxvez61ANNTR/fCoDM47WLgcWBmjL
WiVW8M1UMqgvSev3B9sYxXFo1EuY7/qFOruuWeQLNpQNhsjdoECsyTg8+3rk5vkLRTtLVJxe/ESM
q7wdHuHOfTQWDuWYXktSq5eO7giNG/fNK/Cdxz1lgzvwA9GSh3IoOFvyWOqUFCvgagUifpgJYKqd
Qz801PkRZu3eH54FgGQLH0QFhnAYHkvk+ExUh3wGuFHWNQcYsijRF+F1IWcP0/g5SO1rVc13TaAG
jpdPKp4Aj6ctCVPCXcd6DBZgvvTMDjHHMD66afuMEuTTClS2FoXzthggDacGj1nMQzZNEFx9Dz9n
Oj3/rR7wER0UEjPUCMRU1zrdDvViE7B0L3F6q+bwoew8vR1vQL3PNGTQK/b3JttR10zEsV5i7gPK
ena2uIjjXZ/WKOwEtSadSxeiJ3gPwtl+2m689XI4hDXsI7dDrTGr6hR16UemD9hd6ZFVYtgPVVXW
kA2L/Rzl36MEDelGxaYqzOs4JM9ksR8aMLoEj0KrK0d4MlHR75I4/6gg3bFV8ZY2EWZ4UvAEhr9d
7mONJ823SyhUOyc5Rk61yQDKH3Fw3BehTQKUS2onb23vIndBw8cQvD4YmiEYoRBet/T13rzI4Yxt
2c1OIqeBZYILWTHAv2bgZnQSwWtZurexwQwrw49A9vcS0eAKG2DeTKAWl+FmRPFdloV48FpkE+AW
D5Ehj6VAS8ZqvM3a8rX3aaY5jgWpUTScgMwTaAQ26944dZUFvLMjRjWex8cWx4eZ48dn9DivTKyK
CG5evaAaOBjjoCmF/2AELtmdE6VVH+3slhQvhOAHL7aKk1E5v1vlkFDdH0yQ8Suls69pEaB0I4G+
rEm5SmDMmH2Pd849L6WUW+UyPuIz1ZUJl6Ps3gnIeygS650QXpWV9/qIOM8M8BYtoCXjAdC7mj6h
bW3b3P3t9Q3fmegGaattRkQrIquIwzNQEg9Dc8wUzXGf7xzAKRdrGfcMyD8G7CAaltMFqCki9w+p
r9cmnR4lKiD4/S4pbLVlresQe51dcFKV0bQlvQ8KUw7HSpBviUj7zu/RYQeMYIZwPpjMSCyPh8x1
kuW5NsEEwBln5Ewj2B0I+2W86S+gs5pSjWTNGScYODjTbNgpVnNnlpT5hpHLTeSzyNfFyMfMkfOQ
S/jT9uVhcYr7wci+Fp2/FdrNk0+bkt8Tn9nIwNVLA2c9+TTBQ5uEYuLKGW6AycBfT0wBgAEiWLP6
OjBeYgbva2jQm0OTbj0WKdzOfL5hpSLvuw1/hiZmOjQSe2W07UsmC3hc03eE9nNfcpht6rDZRTIk
P3FSWNe5d9swG16AvcM2W2GNMNfmHDLjahUeNgpGcBDrcc4AfqBUmf3mw2qCrT8nb5NFqmLlGOfa
C5HIlf7CVtCITVmXyFjgFQsfqCV86qeio9KIma1ndcDTZHLi5+CBJqM2H0tJQcEjUSDGORD5h/Yq
Zg8JAaOG3Mx15mdfGXSuzdC113goHA5XtHusH3xRNwJl/fshpECfjaA9jNmfxHfQ2KXQi+3faAjt
dWqnW7csmksap+tJ2349Ip3I7OD8EkF+gnS9g4f32Uy8dzLI3onT2QgzvgKx5a0PiARAtnUN6XDs
iBVWuoja4fECNs/RKi5dQAwmmaQ2KSsFka7hrxyaLoz57FMQ7dbHcwTVjC82IVQa33JPee1YuzKD
7TLURbFr3JccXOslI2XxUHZ/huKF5f7Qd5lLioJmatTUecj3ZKfba1Qg/c7Jo+HOblhzhjB7y/ug
p3/FRttym1eW6/6pOBZWHLlrRvirIYe6ZUXhE8qVS2XontBHYs7dpp64Z4TW0QdL0j9e+Fbj5mdB
yO9qazxNtpNvrVhlW4cs47HM8QtRdIITrJFgGDz5Xkf3rB1w588G4KH45tnyzsvlXWg7YOSbTSyD
hKlX/l24rja2IiXzMhQ9ScmbWgSXyRgQY8SXaIpB7gifz6cLa9Kp7BDkXbvsI+cB8vR9Yfc+KRtJ
DRSfTj1zrBcsCKj0duiIt9BW2dgcB3+Fj5PfoCHIm8ORfjJSBJsZU1X1kHTtyejFyp+jdN3Di/+r
GdWGLBxX//hm/u0l+g+D1v/44//6/8TCBZlSIir+v7v8zzFS6v9O3/znv/nHwyX+JZQJLZO9QWg/
/j/sTfUvBzm370vPwRCAjf8/HVwOgVMuw1HheB6OVP3f/B8Hl/0vpQB4CiH/+er/i70fNsT/MAlZ
woPy6zvS8pTwXOFp/fR/0fWDiCWNLEg11zz7sSv7NrBI9H79hgvnYMW4wb2Upqa65pmzJ4+A+VUd
UP2ZZ7f0r/nkpCTh8B6lLqm/8ch4p2ejIK+D3hmTa8Lsjh3mTyHbh1jF7POhsRUdY12BZwTA0qrB
bW5N6t4cQdv1iqg3L6Tok1uZ2zfDBcQ1lMQ2BrW7A7jzpQP1pgwpvlWHL2RUr2ovflrwRW/snJ/n
LAEQO4f5jPq0qKqY7BKWR45K/FplaFy6xn8eg+zStfJCeg+QMuMZn/jz39TOIZbPLmZ7k7Y7Schk
3mVRgQWV9cgLLWaoC95m6uYWP0EvYesGHeHufKgqJ8dPEDdZquFSGNGP5xjPNUvu3FUMUs092SvI
I82PoT2kM0t7xY90Y3WvBy/4i3a+bjGZHVcgzVJm6TrZC9w1gVIepyDEcZ3HVLaHts84OhRVjfuC
P5BXNqzzNNzVxkh0EjSwaNgZBoSiit9qCsVLCZw34vzO/ZG3UCObXCd7Humf+IZDY5ZbSY8z3fy9
JQsXzayDvVMYr5U1HkikQXYU/Y4bGhsxfdG1/i72yCG0l2R74v2gLWKtG7vTUF/Y+b7mdvM7+VH3
liXBs75ik9ttoXZj8elp6MTGcj+3xExA4HxDoJBtCcYhpxhzb5/k5w5SOhXy1AD2RP4sFJMDwSEx
T51fJKDRpZ8fZceREL3DWrDsb52JGkF/MLPJD5MoniFq3GdNvqDrRewg3XJtdNYnUQxIRxU/yrBD
zhJF321ZHGns2VxIq/xthRjH0TWBeo3HLQ0Tm6eRvmI/r0sbimta8TNCzDv7YCa2p2zGewN3SlKM
AxtCfk4qtugpin4KCdkGNd1Y+mg1CTIkrxIVuYuM2ajkM5QJUhIQpdQTXn4CnL5CxXf2VP2DDYS7
zEQ+QXLFvINDXkcEZeW/2v7HKHlp3GmCgx6BcmzK6mkJaC1VMglXphbfW1V9+Hv1KVS9DRvDNXNx
MoFcHevvIfafZfluWZVmFm1zl49Uhvzgqpn+GLDefbOsdqru3tzUf+CFq2qxnSLFU88b1/X07PEX
76cIHljSvoeTfYyM4LhYPEF/H/+WLDumWD5e6107mhRPyJYCcBFuiVG/mLjKf59ZvcaUaQttkz6G
2Z9Ct9znLY8rVc1PE8mjy5g0mSuYihUlHpz4m5vvXTBvJMLKm0HrCXeg88jbe0S5/WzgsAYxXX7k
OZ+G5x1h/r1W4P+9hePCC6i/h/6rdtmLjUXZV+pUCt35jYv2LcfCvarQ8zIaS77yID+rLPmpRc/8
1gmrtWoHJrjxPYNI6iqPuzBIcev1gyowJa2Esm/joo461dHPl7cwcqnW87Pf+OkmM/uPuXWvrWvc
DxmBm8KfT4y6pnc73ocYulClSI+eyy0sgUe4M4jIgJsf0kFNrYoJQUoIQnjXlOateWmX6JcZAd/0
4+RHx5PW1a8+Im8i9zEJNDHXeIgZRHJs5VlRxrO+d8wD0+3fW20yWgD+8RINzygNWAomesB+dAcM
8idxGhIo2ofKpWJmruqv3YJJjOi/Uf6ganbQ+hMltan0AAMqprHNHP6iH3SrMRUXB8okARvpz1jP
3XbQEaZSlNTNzlcjHczBKenvJU0EUUbWqj/8O2GW3zemdK2H/DQa3jMiqed5QZ1TyAGYBzGbjS5O
3NggII409AityJrJIsmbFlH1rKG9p7sWbFD8eyrjr4I1x/GqN31tqJz5TTP/ORnv6oRg9WJ8jgT5
zQorRMA1GcsaIroznCWQT0lj3HEaf13yMDJTehbS81aR4jlMHP7HAyzZGtiarZRMA1f236oj7oom
txHqBNYZcbK+614smdDb2aFq+HSq4v8Obe8nQbY62uNFZvlTOraEFEy0cQ2vuEzekm6gWrwThI0y
yfjjMfAMK55y3Q3BC/ScmAi0dJSqhSiw6KiqszL+KV3OuEXI8j4g/y/CkGAB+K+Qpfm1neCZ5IEt
dLgHrGFfljnBotbPgsOm0iw8umZmIn31FToF91kLxzvhQbJVBE7DpvZpdlx7lDtkUrCsmTo8KQ0+
MhfwlkgZVU1ldx1MRQ3pUgGE0OMbi5y+kZun37TOJbOaDgQ95Z/O4h7mmfE58TFcpGExONcVyly0
N4wqINdoaQmnYvTe6Jri8Mvjvrgk9fS+Wv+9A3+/ohLsTG1vHvg9ezs5JUPNtI87ViFTFwSZkwK4
Jjv0bz6sfhnjhCBf/bgWs/ucWp8k2mLyGRknj+49zLhN45rvThGRmDNtmyb6nuEd/Pt2KtyCf3/y
VKXPkT5GxNY+FsFRee69gxCBzVVHZRvbIgXG8qTo9UIRhbfbbAOEt3GMIj631i6FRGJU3Hr6mMik
h946a5Nw5jkPlbhITlGLXW+whZPHI85N5WwgRL4aobOZpwC90PxkkOydt/egGg8K9Zt+8tvJubc8
eQod/9dQOn96M7mmpUsSQ8rwheY641Ct6UNjaOJrmWICeloUdMAyrVuLemQQ+QHwKT8b2gvCS2yf
l7FK/5rERUXFJYnJc5hfk7aVYK32GVygkOCQ40IZAvlEIyBVZ5voPrdgosZ+wnmqNmERmraG6ews
GnymgceFLRLHKM2mbmXZzkYZwTbyaf6Vp0T5GwlFbzSrR9z163G0TwUnXhchNDlTK4PScUKrZlu8
THO393Pr79dn8cE/QYMSGbtxxlsjzAqZNojalua2d/RG4rNZoJrsEx3ymvHOJUo4QiX8mmhQpGGe
+JuNTV44oTFDijUAbJ6FwDN4j/AYK3qCLpaGusYmA+DEpA0+eRj0yg9ahQw5621d9lt1710Wz90B
e9r2OB1KZuYzo+BB6l6ktXM48cqKZI9x62TzQWuGtX61bHijyZ6Pve6xRreqPdkDHvCptM7ao9iD
A1DGDMC3f0xRj9QTsFYerblWNHfp1FjWqUavGLRkvHP5EFjUVoD0dX4Kkyd7jN/hjvpNhto/ONRL
y0BFnpoyO2Q5N13UW08GIAGdO1nV2za27gYPOfWEJnRwNnYQHEwyEplrX8bFvmg8QLDwIOYksSW/
fQvAYb5GrhrLiKxF1J3YOtyGMbplbbTSHPzCRmDpLHFjYXg/Ckfez9ht0969YDbZFH16kOoxRlfd
Lv4xEQZnd+OKeGQv4ZEMEWiCeB/V8kK8xD5bVvrSzEW+yUfnHoHoYaHXJ8P0FkrrTs7+mT6F5GoN
inNGaF3cTB3tJbnlXvXVqhvqthrFikkb0rnQPEHeSBpXXIgnF5ovU/fyMTFZDbmfIzas19mrPpsC
uJHZoQBtWep2adSkFwZEn8KSj3mQ/hqzhryM0L+UAeJ3EAf7JvQIpO+ZdgxP6ZJg58vyFIsDQyiJ
ClbwmqNgYsqQO+M1HZcfHyoCWdsNaCTk3020z2b04aTSb+YuRKpW8YgRibphcLKsR01YZjOmskZP
kcOz7nyytMOgZSh9VvHMgt0btB1Jsk3CHM0QC2ST8/QNEiEdr8S35xvUGx666sC7pZJDjSz4ZvNQ
UBNRWMHwuDqm+Qock+1coiP539ydyXLjSNplX6VfAGkA3DFteiFOIkVRFEWJEjcwhQbM84yn/49H
VWVnRlVn2m/di7belFVlRaQoYnD3+917T5cAIrB1OKWpl+EMIZtG6iuvC3sZGsm2tcpDPNrUeKIv
RA4VaTb1h/QCfwMb9DU2vxadXhaSl+aMuDoiP7vT406SHDKZZ8xLY8gOaZddWNI7YOflZjBYlSNs
9J71XeoDZdAdae7EI3GHTeS2LZUfruvPdkEJeSTGaCl648nphmo/5phP4t4k1Wxx/hyCY4wkSZrl
kti4lopMeguQQoxrZ0GUlEksOuDSZgq1tIY8Vjbb16CP9kSoup02R/bCnoYDWpyHUamKj35bHC2K
IfvuTdAcuyZrusS49ODbw7yAGMDq5jH/0tg3iAtnCrIefXBhtIlZNCZTEuqkNudN7TbNU6mbwW62
cs6yIWdup95NBhGMTKu2k6xvDVoKRmwHFHxf4ignzst2nWIoTJRZAMGB2imdfJDOwNVMi6O0xQ4k
BOcXSdKEvvSLU7p3dW6UW0Z+9/Trc4aqrG6VRPmHTYvg0jQPsvRpHTbZ0IvSHRcAuhj86Xyhziuk
YDJPlfM5ov2oqP6LPeMuKuw3N24PBLBcNmN4ynU2e/roH4rUX+oy5HjmZuippUVyS+BAMDd52eGP
toptW3EisPjysODZIcXtHu4mfOn+0i4qghJWDJ6so8nWcti9wyyg1xIcbegu+j7cphomTxHSP6vJ
7tMqM/3G5HJQMFPe+bpqHp+6H/nkbQn0jpxnImc5CYOjt4XNMDK/Gx0fhN+7+nZqs7eF4VVojswb
lknnxcuuA53Ty9s+G27RhokiRirfwmKXUxPN84YR03TxXjbRfAC++BFYLU6mrnkegarqrfdCmhvl
3n7sugbDeMbUGN/GW0y5ilHwCsAWjLPDv0ooHcjQfr9KdPOHTCvgOsGwNDQ4qkgAyaLANUYdX6zM
Kp5/X4vi4KawsWx9ZJLbvuqgS9SmB57EkxlP1sKzfKbklU+SatLwxEv8W1UaX02doEGu4Ry2Ss52
mrPAlcCo2aG7utXrT82S67Ao4BO1LC2a2y4qwdarMLMPehb3jn7uO6fdx+mO0wRTV0L7IhD+wnPh
r+KnQ07+LLLpXfrFB+3k7L1YrWpMEqaP17DOSmwOxHwTw4zuZjc9QHtRhw+mY/ycY5RuGe/fRjIP
MGZ67vrL9U0Hpxj3tCzvAQgsrAK5xnrqEmeNN0ZgySr23MY0zoe22DeO7myiHqeyrVBNtYfJlx5w
MXkGJVpg9rTY7JZ1TLkhuhXu6PRURdTMF9aD9B/YouJMqOcfeVfTalgLwjozxhVkLkZFg3zr/YyG
OcX7YpZ3q/vx9SelVGSfncPiSVfFbZzfCWdybwDg+iQH9LZ/LUwSC36IqpzSIYErpQwe4xrhxU2B
l4U9dd3ZY8Iod8lw+uFnjXRUJ9W61Yjjl3FLThb/c2dW5DTmeTnU7YNvRVuTXxYJXNLEbf5g9swx
rYFgYICn6tJSw4KlveGJRvnH20WIqXtJ8Z7qHrmZSo8fOw+gmFnVW+Bsn5HknGSPRYpjUV69gkE0
26nwJvEJbQE+5XCPnsXR0QegGUSrvmDr1swvnHoc4LbYHSwuLy0XETUFmC/ryvqYrfZoWME3cj0/
yE3fsnYR2LymmTA8i6m9nQ3/PnPAXWX5a9WOq6KgZQOn/uChnhHunY3krPXmqWxZdfKa56/UmIHO
me3gCMSsm9pMzBBswvnDzOl0S5KkvwWQfFt2dNtWw9oJGJNlIUbGjH5AG6tKkiXDUtpUg7JN6xdA
UfOllasKHJuGOgPoNHPTQ8qe5m6QzaVxhudGNjAPIrRDLgadeDmzUw6ElUT8H7pmWPfw4ECoZ7Qb
DM+uTusvRYsbHyjHckjLYd3kFNEkNN2UPaerOXGek45ZZVwcXXd8p/44uWGsq60E26ZPIGJ4cmPI
FeZoHztoGZ0M7iXmr0VD2TcAZexvNHh6tInSEwfcIJ+pTdSkt4k0i2VLUtyHEWM9pTj9tBojWWcd
YpGvseI26yJjx2xYyTeNyAW6lNPfmKM+7+mc2M0vBlAgjyMYOyqefL3AJli2x5xIDxrbGZ/gspA4
QIIhfOC/QFkgG90U9rzJjfCKrWrpJGNw31uYhxs2TEHqfCSYqNddzIh0mp6mQX+unA7IA1amZmKd
nBI0tFqmd4ZV7jNigkt4cCEWpeLRa98T2vrgCiagibFXCpwkACVn3gfs4AuD36QMXdi9Q7QOMKqQ
ZA1IGZj8CpR4+i5n0aDGUTTHgrPvAJdw0db+VzUVD6DHH6WBD4zRbLHzmOAPOabyUp6CCeGDJZBk
EE0ZA3EThVQcVEI2FUtIsUx02KDZEl+vR3t52nSrtncfnPzdH3lXxFRTODUYiYk2RVjH5CTjbQD8
dHikWiNf+dI6lxXWgYRs7wp0TOUi/AV1fmzBekwRVhTa8F8BIUZL9g9Lu7Y//Ez/oFshXM2ePiwd
3b5SWDHeEhamqq+1n3p3WHl99Nnp2RvVKiWqK0NsOelnzpunigPUuo3aO3i/aWZoW56zhJREC1G7
EhlzScoUZx+9M++Hx9EzhkVZi4uZjBhQ1X+EZn8Ii3WZBac0IDDrjhK/C5dqyOQJ8BFWqFx4x8nE
YZm0eIwkyh5m824nI/FhtwXcqqF90m0+md9T7OiaRJyC9GhWgPBSb3DWNJ5Q/aPBjexmDQxisWMG
bW6CEOK5GI9Bw/RW0P6PeFCdhTCDg+bZ+L0KHD0RLbgIXOQzIimHDYEpiLvue9GxJOI3usHkDosk
JyKYu/KuHNQsXo8U4pS0MeUYUbfShqFkDv0S5bRJWlZDqlr8KIwPLE+8SQkX18vJzIKVgW5aO0wR
h0I1RPVDv64nUzVI6S8GhwYrRwDSB2Xf9k25l0H04tn0T5LwWXseJrnaoI+77hnLtf092c34uaSk
sYzMhajd8D7zQ28ZhPkhNktAhONDm+fRWmuYtMuWJKwcHe1W65kTzBh0noYEHwt/+cZTalBBSUrT
J3ujocsyZRh4COq63416eRJBtun1wWAXXHt3aDNHw2jR1QRbGa133igtrdZZsK+4fMoJW+xto3Tv
K2WtoSj9oJWdUhOYqouccEDsflWsqkpE4/P9yHoEyXKsP63oXQn6Vtu+KjGJYMiOprWFVeHLdoNZ
1UGR5+jSPYk+bhr01alFEIIiSgigR0RzwgPdxnLxU0EprPmGiB65CNt4zGftLapc/W/6tn7pTmK6
RYO247imY7BSCPeXirbWdwmczJZOgYoAg8qKF4XaqshBwEui5aH5j7qh/+O5JnPR3+eg/3PzVRze
s6/mz4WVP4sX/9cfun9an3/9A+pj/P4n/t8ouDSRuBkp/u+no/fv9Uf49ceCy3/+ld8LLmlmMqk/
p8ycshmbPqR/ognN3wymM4xNbVCD/xic/qvhUvymKjFtmtF1T5VZ8gn+NR81Kb9ku/TzkkOt/e+h
CWmT+7XZiOEoP51xuA7qgTrPP49HM2ei1TcinNp5wlyHdvqWMHcXXjY+JzJZt2WarbE2pNgZvftZ
Fq9DjyAV0ChU2fE7TxrtgMbwaUrvx0BDQ5A1952PdDhmJr39+ZqpjraJw/qYI5wvct8CrmbwfmH3
ztbemrZzxtKeqBIjkspfuZhPLZthCCggOVzOcDKXH7mW3ds9rs0Y526t8+oqpirbs/dajdV5oAW7
JA0YK5esxjwRpxFZtIpk5xDfzl51qEN/J5rAW1NxgY2ffIEyauc5Ga60ZObBs0ksAVm5pi0jDYEC
tTytpXwKgvsmSY+aqmIfPBzsSfE5pSFTUdqCqEfzlk3d/vB171MiEpIbxMAgp+m9TJrbmhMWefP7
Fto8DC5+eJOxTXN7wK+9vo2s6TR6OLNZq5wVjzAnuwCSDTDSZS26CWIFJUCpNm+Iln6UXVMs/YrD
I8FuxMZo5ViQM3SvxLE6t9k6R4CmeSYglugEdy0QI53c1sqzqHcZ+R/UWp1nrGHLNGCSNKOh+8XJ
SEEfe623gomWrZCZ95FHE0fjNO3CgSy79tzoNPrzGz4oYBj6QJdRIX22BRhW+8pw8V77Z9Kpx8lv
vyDHVfSM9DDautjfFngxYAIihcSutfS6blxbBf16lt4MgMayfnGGj1PSlmF0WJ4M5zD1814rZLCZ
iuattDFw1CU/qJaas+3DwVg5iedvUACNZ9chjkT3iVnO+zpzXwpc6LfRUIQYHimldqGN7BKKeWVs
OsfGI2HXxAAOrYrhcB/85Mlku7SV4KpmfFGQcB9qghFsxcSJLPWw9do6f4zG8WQHFy8wwNJI3v92
zxiKIv8Lplr+CYJFd9E+xn56nV0oQv08vvpeQ+iYP2ZmE947wqM4VfNDhw5Pv7pEO5Hhk4vDRx9x
illgswU9JDeloWVUOjHpaMatNGvUZk9SH1JVj26V3m3jrIs2fLJ4KVo/RaJhXE/FIvdsaz1G3Wts
D/veza6arn11kpoiwnQEgVN2s3ROsk1lhjhGVHhhRnuqDCkgPaGlhXi7ag9ime7S2wO3CYIcVi87
dPAvVOmxGsKPomi//BYbd99o1rl3ZmdTwfVtXcRavzDEa9yxCJppHd3rAAarashXIkcEBsmN5ogu
Vbns1Yq6tO+MmERXj8RzF3q5fC5ccyWLun1rL1pOzZEVTdM2sPvkScruGz4cFRQBb6AoxXsZ6PGM
ij/S85d55wZo9sKYxfNY8tNxgilPYrn1XR3vb1yScakomNHKpvrRQiVNtO6+Rlc80wQiNlWU3tm1
hw7F0Jwj6K3buRo2MLgEeuDTzq9SZGw6xI1B/cM2CKyG0pkR24W6srX+HiYxDYByovIxSLa1IrYR
EjhUxANDpRYWfuLtADc9ZBRvBG+M+QGJDh0ShnFxfYa7EKYXJZTtuOtosjfZNQMI3acO4zQTxnRm
F/aNTdU7PWXIWzg7oKPX7e0Q949Fhg0fv+wVjk4S6s0OL7iekfIbdEScosPIqcz4/WM9qjhIka2i
UF7TRH7hQV73aRYwMAIe1z/DFOBv+RwYBkWCxBUDSsCKUM3n78YIHzphXNg1Nmpo0Biw3qNWXJ25
eo4s77Vtk4WuoHZtvNEzm/Ew05JKmYrt+nVoMlx4NjSVpkjPWA9u7ZE6heLOrBRjsSbm4CfBIwZl
H8Cjx2uzq5XXZYFEfp5F9GyPw8oPI7rQqUaIMuYXXaifEgvPt4N1JpYQgqKS90IC5qdIrPK+Q4iR
k7HxmvDTBj+6gNWm31aZ6olLk51WRAcMu94NDLkGSZNea4NxYA3qSGYGoDN7F6HF4XvXaQ4XBgMw
SQMZI2P5UFi8C7R0Z+g2REJq3MbAwhMD8SnoUAQBclIcjOBQfVeFfB5Kuc6dhAsplFkYH/lNQRd+
ZaLialLbhTnuEBFydNLqu9Tvv/JyZuGc1UFluC0T+eLTLemUKab6QBD9sa6TfHICzgtCUtHflPhE
886j29irb5i6LTLsfgsfdOZGj/fCHoZFN6K6TBiQR9re6DRTJg2uFSbVrh7ejKp8GUN0Tqu3N5pB
78bch6dSvoUpZpOBpcL2CDnYuAZC5lVp960VMT8qqB40Bnyqks+ZRjRNOzrqJuodsN+CQUAeO7cA
/nazcBd0ZrSHZC5hCFB7lNaYACz08TjNb8vYnbdmVVkbe3ROfaKVZzGDseLNWc2HpJExPhN88yED
fpLxGDKRVO0yfykqhhIuSeNi5qhe9c61H8/djO8++VZDZM7eTDWMutp5OV0IvuY+ZOSeJSYUfKgU
Q8Zjsp2hVK21wg1vtC47TPpwoch7VSELyDk/ijxsV4Y7fxpl+Gh0GEULn+jkOD4PPgrCIL6SSJ48
7QiF6mXynquwyVewFbEpLRIdRTPzEXLapiYbLcn7tF5xS6clFJcpqqe1J+I9gIiS6SMPXFAydEeH
AOkZ8rktquct+RqrVxyNKP1hlvVdHAY04CjYoaOwh9wBFBEV2opu0duOUK576aAkVgqX2MBNVEEP
f2qY1VAHGUJWhBBBDLZDTxu9PtsY1bgZ9enVyQaAjC6poWbgb2b6uwWzcTCm51BBHL1BP5f8ZjYR
WwS7lxDa4xgo7KNLgkhXKMjGkttOwSELKJGuxfHUJ8+sS0xdzQhZIHxqkgYMRe8949A4dQo5SeSW
KGtLtoP+lSY2zrbBhjBVoMo4qwihKXalS3IBlGUXKagldEvdMMTCF9NtpUefQ9Aj7pfiZCok5qzg
mEj3r63PGUiq17CEoDkkyhTjyK9EtuUq08nDzt7Me8CyW/a2Zb+oYrTHEi4nrc+coFFQG4XshPOG
0keQiCmcJG2CJkgZCSbY9plwzw8D8mdDiv9GpYVsQYuaGl3FChNK7/GqVOBQTfOWlUKJ+jpQ0Qy6
qG2BGRUBwFFvYPBmDi+GQpHqfnceYJNKi1YZmN7gSuNVmmyFP9LkGHKc/7Cd/E0rkPmI29EfEDxZ
sE8tM3moPdCoIyU2FCbUnKiUv0MhU1UDVG4bQLMj9tMKq9rJ9scEZzUovTsl0GQKwDopFGtEsK3T
01NOO8gSp/W3PYDnElO60kVBzmbqDqNCu4aFtSDPcmTAjSrZJd6mhQMbw4O1M3J5vnuJFSjWzGKf
tJbz4MKQFQom23S4jXkZ3nhwZnN4s60Cz7LbuyXejtEguRaui6e/bDlLa6psuUKXSXCV6JFaGQUz
Bb1i8tf4omXWsqFdw6fuERSFDyPNUlDcFDqupzC5U5G/YFlHOICg2ymUrkuedVZwXUthdh33ToCg
IRmCZ1xzgMdheix796blVHTgWu0TnVNOAL13YOk2AoRawnGbUiT3DiWJ5B43s3hz+FnrEB1fjQL2
Q8fnJEF978AKthQ0GDP/T9M+fBuAwn7F/sV03pq6+HAUcrib6h/R9N0pFLGdBZ+lixSf0zhltyxT
TPcKHiIutaRz5abZkvBpWFFWwdR4Szsfd/QVEalVGOQUHnLdAy4JkcBop+7w5gmwyY4CKI8+9wyp
faoADYuwD4ZvkgSvLAFHe8LuYOakmiP0fRxh7IWbB7qxPnHb0/sJvLmYCsHAxr+rFNi5AtNhxsuK
/kEz66Nd1YGAFrCgGVMJaPMduaFjRpx8WTjN2g9RpyY40pYCSlcli1yg9gXePlXIaRx28aJWGGpR
V/d0MmM57Q4hnOp0JvfTswuv51XplF80UXrrkpqIdUSyBN0S2rWecoO56v3nHjsLrVJjos6XdhdL
ShpYN04x7Gw6IJ0bE5o2LvRl4w8rIxtv7YlUSRSBmjerESR3v9Ut1buVUYoy9cM6gdZNt8w9nJUf
Tl/fT9C8WdiXUYiqJQRP2wTFjEy6C/y7VzjN8kEqLLhtAgh3IYVnY4OkHRH+HLz21VM4cR8OHZ2j
DLaxri5nBR3vFX68VyDyHCI5p12TWgAa0g1o5ZX67nCf4Kn3L4Hf2gdwiRgZ3W9Cre5mhnlOpHyB
fSTeRVEKKQweiVl/pX5xa2vBuOl/gtOt4BOHhhpY0VM/EY1vvMHbuAq47in0elI5NFjDYVfFMFpI
zR0s85JyNkDbCJxM6l5HL9g5ulMsHAV3B3HdLxsFfKfm1ARfmzHAJ0k05D3cVIIrujV9wxnToMZX
LUd2I4QMxmmLNHe84VXJlmJmAGSO1keEzMm41eIapBjSCIMDhqJ+DzOItjC9uFoGcHhsI73ixBpW
ZW3cGSUUmmra8qotF57mwOqJj13hy5XvecN9P5QPtt8fOLIH/Fhr7aoxjYd3TKOLa9aThdGxcQ3V
0Lnn6fm/4/P/o5D1/5UeRnWDjpT1V4rY03v9+UWZwh81sd//2j9UMe83bP90lvPmBSvh6SaF2v9Q
xdzfDGFIifzloUjRCI9f/1+qmPEbjEATRUwIKvrJGvyuign3N9eWqGymZVuUb3jOfy818IsoBvPC
MFzhuA6ymIWc/2dRrLDZvk8Jc3Fl+Kzd7Ihxg8m3JI/ppPuBrKo9yC9K1gks4yRGfT/OuAhEfo2T
bF8V2fEP398/wyT/448QFlv/T58IkZBxMokJw1A68B9SDJR/aoXjo2+l03BxJLiopCIZZuPoNgXh
+Mhbtv2I+yhdD1F6hQutw3dVPStoArZ4ZPz1oDnNJSEZiGAHOTgyiFXmxb7jalDY0Z+mortgGsLx
hOe4iVdUTcsqInJelrzXmh0GUCpQwuw6J/yXtucFF4jxNGXtznIttis1FaJMDziY8lL4ll560Nrw
g29qM8ynsQZZWFjdacSSXtr+OZ6Dzdyzx01ctJKOj1qm+RFH+qkx4g8vUqW0G4xvx1y14PoshaHv
nq0yP+K8+bZFe2os877r3iu6zSim7dsbFyYsaaFr0IUfQ5gcoGxciyC9dgWxZo4ogae94Eqwk4je
oveh1jZaSS/b6NXYTpoBWm2sakzltkkfsj6+9iX1iJQIQhyizq1kdzS54XOWAuhOrpYyOVglACjX
4gPWTJCnAB+DtpqDAHq4s43oh0/6x9RMH2UVXwFeX7I6xh0aHwJTu48pTXO9DXXbB6Pke6kxvTee
d+y4zcqQf3nDjRd4CWbw6NaxinsphlM30RuW6PFhstQnd51zqUoWU1hA9TAstcA9coLlLJomGCys
RQZ42cEr3WBNXpnNCiIi6zUm9hBfkDuvixH3q96WmzruLyg3J59NJSNy67HxnkAALocu31f8f5b0
zrWOk1VrHvK8eZlJjf3NTa44D38gcPBg246D3C44ecOf1n9J6jSRY5Aea+jkSdUAi8+l8VRhrNv4
WXqUY/rNd+7fjDGohyqiMEH7Eum29Yyr2QIN+etPY/8qjOtknHl0pOdK1zSdXycrlKgxCE8oU8y5
blY3nFqBeaNj1dHRhwbQhln/OGvDxUiKa+nxRBrMp/LyQaVtfdN7lUW7K8JdMcXPTPjOXRsfzCjd
S2xR3UDaeuA5C+325FvDabZoAyTDTqcTGW6/uUN8oyg+VKtvVByJwGM+F19skimQ5fHsgo2XsorH
zrqcxH6CsxZk2mdZDhc8sgcjN3EOJYzPW3lr6OdKpGsnVWXSfCa2II9sKGjASK9sa1IqpfTmKjB3
qr/qa/6P3sg+/vrbNP8thaW+TZvv1Aaj5Tk/qRF/fH/Nsz+F89DdNE2wDvPhQt/aZcRwajfZNW4x
mH45aGw/n3Wi+IwbGr7GoHZvqsHaBjQme1WzG1Xh1iBvKUnkk5cQ9IyXv/6gjpp3/PkmdA1h6cAX
LM90hK5+kT98UPTaoA6difgQqvqNm9NKFfp4jourXqYHNme3nHxoJkwOal3ADQsJ9NxS+6pn2bdO
eGfM7GMw3goudTMnB8ELSwbpodCsL2oVInNNTp/9cGZwqvN5UnOz3dHCeC314srh5NjKdkfG94Oy
p1sUg9NUjqeQyaXpZvtxzM6kthY6Z3dGFVeMVhQ/5Nq54OVFkmw98jLGMXiMuui7jfM99TmXVN0w
Pe0jTkAbZ3jQeDXkbnIIK3tJ98ERkfXj532hSRw4wWpkzYt0tvs+r8mqOA0doR3fy0msE4K3k4NU
NS7dxhLJQd0xs7MyfbFO3WY/cXJY//UFYeX+9wsiBQ8gewJQJ+KXtbijh9XM0Rbpbyz2EJoWriiP
QdtdwiHdOxmLB/TTXTEPJ5gK1xw7TSxQOD2m93Tu7NJOe0g7zhjKmCCSPeGpVSSrjR9mmK2aHXIb
r3WkvlmaH46s7uX0Fhn6gvQL59viWGrxoXRwg8/xRzvJW59vL+78x9G+FjgnYpxD6nXMC33VpvmV
2ftjUSQbCDK7NORWR5uNp/SoTM8+qnUZlJskpm4KCvpeCrnRkvLsg9FwZf/QTr0ksk4pJfJF0o7Y
hCGakdAenOmB+oGjHtREF7dDfe1qNHl9TYr+pbDjg0XmuCac0VT1rszwsc7iNk5HyLTJPmDZJLOB
EZwXTu3I2yoHWew95fSMFSkuF5eMvul1p0zSss+vTVL+UIb27aSThucCx6Z4oornb16w/+G6Miil
bdUEu+RIUyFX/vCgeWmOlJNhjlX41Bu1TDfc/a6lP7h2+zR4WAP++k4y1Prxy6MtQLe4FtFhBFzn
lzspKQbfmgfuJNcu3+H+EeBALP0hkvisVjqaQE9mrHYB3X0TB6co8VYy0OiLiA+aYdQ3f/Nx/n1L
5wrTlY4jeSmyyPyCPYo9JCjSbigi3K6FlTz6RncB3zkvsoDNT2AWrxJ4+iCaC+Us7t98/T+pSr9+
GwC22eQqXiLshT9//zAE2kELeCOj5deq2u5gxMnBS+xbvpobynjXDbap2o+g7mK18APJnrHpLl1d
vM1oGbSiNc+03GXsmhiP/UR2acOMSqCtmReoEmLKlYdqPvad+zcvBeM/vqU91mY2/Cwrv4Z62UwO
CiXMtCrwU7qiebAoRpJudYO3nQpHGUlkhmwPLeoqSecSvjrQ1kbEXX+ZQ5HClCaY1/R3+lCsKt6k
dN1//831/Q83OLREy2E5MTnGWL9s2XU3dzXTZEhLcvq+Lp1PYTnDIjB6uiOJiFkmLpfRmtCc1Ksp
znZGWN5bfrnITIez9IvB62AxJugeNav/X384+9dnwTA5v1OiK1iWYWkqi8Mfn77WoWWHiDaYJaYK
kxUaN8FLzoSLNKx1lM60tH3G10LEJwNA8KJoOTa4o//aQE6wWF1uRqnRFZrttSR8ya5EStVuVNex
P007xugGjulk2wsdovqg02JnWrAE+sscEPpv3MswjcMNlzGhWbFcJJLEjM7Nrmk4yR0r/kBhowvD
z/d+nLMzgt49xxzFWO4wrFc3XdNcIi/4VrdsUXHTZR3b4TjmONLnAyUxdFGjf9C6of0wQ5Vb7dlc
xbX3mHfh66hOMqHFpCoIy03MZh6/2RVhjJ2Z07+3MS6Av/6+8eX8ugMyBOdmncIMCiAsk0D8n79x
Y2hCiVZFh19WbRrW5nkgvqeZ5Hd8HM1HhNWnMEo/LP1dz6f7rOD8Qg19hPEX1NM6dTg/MfBn8nUz
GIw76v6kz6HynnPeAjC2rLG1y8eqFM9OJ177fRMyaWsJNOOlwoya2uKkTliJlx5dLpzgfXcTHcJ6
JcLqnpMkhXGfuKaYRL3qxFpvat7cDA4spqwD3Q5JQkOG+yMbB3AuvBApl4n7jstsHXQ9mrcYh5kl
25X2ETocE9hgMS4vsEuBcAfzND5QL4OH0glzunZxvWkeCN8sVoHHkarboaF6ukhBNYTFvDWSgTil
yl97eCWWOTLTKp6QfFOYSCP5Yt5qEYUpkNn6sgjXVaiPdJTMcD6b+T6y6xQ0VgTjvpjvK3Kfbobq
N3avOWo64PqSTE2RnEVikTt0yXM6JdEUDUYFLRnr3nYUxcLblpmVryC8Dqso8p7clHhs3POB54tj
OzjeBPxwbQSjAfSINyjOwsLjI7tzuiFQzV8Ny3jtWNSeJ5WnrRK/PBWpm+xGapnjRiJG2tgXYq5o
r0/Jzs6tOxp6mZmb2rPtiPfari5qYVR7kaarMcbwIlCbZ9enhUUvmS76pBgtDhMSoywXkP0kHYsX
NxpPZpJe6Z3aB5O4pVGaokMjJ4dRbYaRQHc9dCe1X0Eje6x7DuAt1yyu8n1oWv1qRE4QtbGoyn5H
0SKHkKTdZZzNMPDF39pM5TIFcCZlLAtv3/Y12wn8e5Qo8ghyIJYJpyGeyI9ilouwfO7smFoaE7Sw
GSqA4o3tRh+Zhne8n3ciZEqJHXxhVNzNHncmLYqEPqPog0jLnRXRTSRyYkCMAGPop2azozTgXEvr
1qyTj8ZkjyaSK+f3k25HHyAP6UTITuognrrDKcza0ywPIDapb8g7zNZt+WAV+VJnSHTTaekV+vJ1
7OPvUKi+Nurk/Sg9NCLnSa1JBvn9Y9Z1J9p7zHT+SJNnPvC5SeppE3PXLRLG1z629Ip6aR18xnLW
1vpAQ4CeYI+gxCZKRp1mAII9s3l1M66gZy4oiSB5ShwCu0Xy0VEOy3N0pWGuxTI68CrknrQKAFyu
QeNL2jBpyPexQ6dP+6hCuJVwz7SQXZSgok8fYdZjAxrpz1b7OJV2dnqQGhcaztd+k53pQ71MIwV3
Qla071GiZ9BenIDicvqLKKxbnYqZKR3eY/sYyvDQ9tFHk/CCSfN9Wxb7fk62IeyUntVI/bM4by9q
+29P7jml7FNIIm3t22AEe8ftrgb5jZ4R7ULJSU46nDIl4bitWA2hvtebmbFQyrcfiO5EuP1gMXsV
WrjldkLjIsaRvGYYlATNxvFE7nmuztiERvesWlzUxx1oKKDrRu1pR3YkYb2z8uliDc5zDQRnqnjh
awZCTN1eRDesKBNdqm9smLpTHtCPgUKWhPk+hYfWe5uYl38Rsr0v/LM3WwQZRbVQp35yIDet8QVJ
kxSZRR15sQGTtVbaCjcSLJuRwkFuqKcq6O+yCCpsywyZMEZC11TuFQy9yH1N4HTiaZmSgqk5J0ac
oOJiOJl8Scakn1I7O3ZN/NE797kJoEUwWnVati9BDsAjO1pa8qGOPIiMJ3aRQO8bcWxDTse1g/0n
sJuGVz//3mxyl+RMGGAiyfFCeEq9yboz+yJb6/R71zNB75YjSTEwxTcr88aM8cr5DQQ2a2QSQP2q
AWxj6TThMxjQemtY2Q8RsZ2qm5bxRQ76xBPauUyfNWOaePrijyaMgKREwYo2x3wbe+LB4M5b9FoI
4CZnLaHWEXNKY1JOSWqLOXr4lobYauqcAHwh+7s2c83lmJOgLhmtUf4J772f+7c8Br8g/Yb6/ajz
NtKotyPFchvDcfONXxIBLhvQY1rprTGitwQFzK1mBCizbvzDjPpXKhroeqOaAkAR8CKKB5eIZ6tQ
UvrvGm27op1qvp+eGz3KyfzyAXyGoCu/o9BDUr9iS63ZuOUdC1Oyk5raAutgA6XJL1DRVwcCZtkk
L4pzMOPOW4axkOtIhYHUGtC5ZDyMfnggnfbYkuZapxq/sdakTzNIHL5RAjmZi9Q2ElzJY40y7Aqk
oKOVHO/Ej58fiOr5LzoSsqXRAyjlZLCc6s98Hur/ou48muLI0jX8Vzq0uask0px0i56ILgcUVoAK
iU1GCVHpvc9fP88pUDdI3bpzpzbcTYdaoDQnj/nMa04nG4mFIkebYD/eNBup7UzuqnJVwgXbqE47
y38clUsAyx2eVqAV9ab5GKTSXxBLvpNM9sam6jLWR+2k9ipYu0G6DJJCSkNhgFZp/dplR1iJVjPn
Eag+wCkhBGp9nJkWgiSTPh47Xk8FPL3OhePCauOIC029XjWDMscPYbjaE9r9LLDmuo/Oc8q5PI81
Gpeorl+VFAw++qp7ZQ90nGMS1zipcAFlPQBeXyt2Fp1AiMeZR2dWTdFli//DqglyRx70vLhT8r5E
iJ0Czj2YHtwgQMoz8x5zC7U5pGOhH3qwhwxQ/VAp0QcA33E8uOMD3ibzYOxlEKD2562LWIzwfRqf
yFJTxS9PnH4Ml6jsM8aiXXMiOoj8dthZU5T0jEjiAOmMQosca2ZMTDOtCc7MxB4vzAoGX5JGZ5WN
Stio1sukwfo0SMtryyderXNiVmZLriBxlWg4Ahte4p7C9Lv3UGhbdJ35qYXni9oZY4uYej4PlGpn
PoDOxQFAxVJe7xo4sBprF09iTnKEl2aBJWCN9c2SfWybWuYn5Dgi5K+66DS3g7OBRXnss8qp2q5d
Wa6G7OrMNBWB+8T61qTBl0YWllv2/QAI4tgmF1Y13KQxvhwKiN1Q+ZqqiNiY0ZnVxjug8HeIDIOQ
C+7xEiPaG4BU+Plt07E5N/RJOU/LmilGCullJdqJkNenbBdw0FD9h3+MRsNNxz7cKMm1mXEY2Ll3
mqno9de4o7WcvmiYoGCUrmTVZRgRXipQyW04lWTla1AtCX1s7xu06Ix415K/yV+0Ow7YtIweezuh
DIpdKISqiPupoPzgg5IqjIhoqyAuTUXgzNne7ItoEyFFTvST2Psye3/pivqqp0KKxtkKsgSvypeT
8RWCjCc0xq8bG8hXFp83WbirbVCSTrCT1RUX8OGswBDAhiEChC87nloOtrIPd2H5hZBeiq4fR51F
HKxEOy8Md55JWUtzVkCThzkdLilFf4FREa4KTYD0dL9vOzl68DjlBH6BR9LYZLRXhPJpDLMLoESP
xhheWlXeLyG7DzbfyuJ8liXoMKe/UyYgRYJmC4lubYOZIO+oFlCVF441rjNi6WXNzu4mkU1iB+8p
1JgYagekRmUWJJRKsvoxY7EFMvoMqcQ3TN2oPZNtAzPu7z3Gi94UcV/V2l/LEkaQg+yNOkcikEJ2
klyOY7JvzuQpYaQMTpvqy1Rrd7JQV3l6DzI6vXbNat1Jhw1GW8mu1Aaqiu+SpyDMyul4o3b+zlQo
V9jWlc6RnIx4i9gaRpB8XZnEFVnw2JnDmUkBQoqExMLmuPc/dX123ZndFT4b8XySUsvpMIDZbNCI
sNLbUnpzDzImqd3sI3L4QwfSr8NXEl1d5asqO14ZEItWoH8udVNkn08PoZnwfWXxVD6M7Aq1aGIM
ZXsuo6iBjs+sDohL7ezaqqhFRgySjRcDKvYj6UC4baBxT1L6Cq3Sld9N97qxDhtC4IHMByECBbmX
ofV3ln4fDWiLSUcKOLczDWlvy+6vfD4HkubnQ0X+7VvBDpD/zAgxVHWT85aLE2eBAOMX9Oi49crL
rggeQ8rtSPXIqRw+jlP70DCt950w2VlzEfWJ7OaCbS6YGWcodN/rjf/Jt4jaBAVRubDgx8k6z8xS
q0s5X2Uyuv/QcmHID7oP0oyr1K3PUDW8lKsWFdmVMiRngWhOPCdYipGCkhelD7ISKwvgXo9eQU1f
pdFvi75cJPhoAJRZulV7A1H2JCEj1nwy/NaCUS2uaz55WiOrICiptgVB6ka2MOVfyZgzTtMHuR5l
+U52DnWdIcrRcPFajvIUgAGpjDYRgRoMLFuHDCULNCugxx7L7Lup8GFgscveJ4f3jSzuO1VyKd9P
reNLp6HCH+unnZ0spjw9H4tkR2h7qmbXKoKdURcj4DV56DcVxw2zoNHaNSTZc6M+Sx2symQzTQfT
yoJFCW0WoLSCXkTQ3duyb5tGsHnbs6Dlhafmltx5I4v5+50xjLJrRC/uQo5sUyDKSZz4gPrFQ1Kw
++VBfe9TwtMi/ywTuNwqwWM7Net+JBRSIX9GCIMF19noXYLexl5rAdH1ZCgNSbo2TuSmqvshHdb0
pCJZB9Z0byKNEJ6PgU8mS9w8Vfm5whU196GGkSYpU4rFncuWT1q5/X0D3Dnw9XMqbXRG+QiSdCCM
ai33sKFu1/sIWQ6ypVp3FQBOiRcvSpYb1if3tLmuZY1eVvnBjD36fno56e6d0jPyk30ne7xluNGN
9kG2eXF62GXKvYSuyqWY9OS6SnlXyRyJKD4gy3DJc0pQTEUS3ilyq8pg77kTu5wRUxSn8Fzm/dwC
O115SKZ4Yrz0tFv0r2/C3H+MzBhveKYwgQVI6ehOAJxHPm9W97fRNGxy1O0WevrZ1E8aSn4kw1JA
yJEc5GmjW/2NEQCUKzqL5NdZRomkBDgdeJRspcpowoVdKP0X8I5YoxwIa7EilYsQtnWb/HYUGcoO
HSFpYPYAjux8oQYjdpOpgmWZZMHVxbQawu6KhsMlQduyx09WaViitpWMS2QyCWjM1Vih7pxpnMRp
1J5mXnjiqxThKjPZZupXFwEpNyO9MNpPoC8QzPSXEaponCPhlh41DgwVfUp5/gy+DIYVOkSqBb+u
l00ZqxuXCDchkiCfFslFRlYZNyFqKizSO7uKt1EzbuKxW+HhvLEV3tLxTqoR6Z7ELEvEayBj+6h4
pOjnQO4wOHgygOWIB8wwf7v0C5j6hNDncJ3RlarHM5qgK7Nvr9yAELxwPmsqzeGiRw/FcCEu+frG
HLqb2AD5Won+hmIVNEZSjykMF0Ndkfrk4RZKNRBGq1t6BtU4G0GqyYW9VBsDIKRgV7gGyhyMgtG1
K0pCTy6Pp+jtPSR3FAM1y1sELMye7kgjeGelcNahyfqa1C9JgorhVCTb3lBuR9U81izgi+OAAJWN
b08UfY4Txl/BAWA+KclxVVvHGeTsDplS0GaeB64K3mED8Frz8VPYP2qdoMxnI0XZoL2MnwpfoqXO
kwF3jxBubBTlKca6XaJZP9V02WeGNsy1ITZmhu0NSwSpFmaFMLdroA4vrOoEf4oe68H+I63Qq0DD
nCYQ9LE9oPBqCb40l/X0CU/YmTJ9tsoufv64dumhUT0irADGbzGit0Q0RtShB6l3e5kU4iSHKr+g
i12deIO6hlVQzIRJEsb5r60QjiXig2gW5i4wjSRHbHHY6gkPrEn7pWQqzkIXA4r97cUQfizM5HPm
Wika+v7GbrKrLuWlVA+ad+LWHMoAVLJYX0Wqqi6GwLtAhwNNQwVbhpwgIRIWmp5Zcr0fBi1GYiTW
MooJNa3mojhBBAN3sQzy/gTYzQaa4cLsxqrdZCoGHtEtalnASXucgRSaH+i9beDOzSLpLjbhY7Ic
E3TLIJyCb64ChOgjD5EJVnqaGN9ciFEjGu4gqevzpGwgQYFiLltzuIwcRjpjR6XPPBA429p1lEsp
di1aIBrY4FEPbnoaqWLFGM16MLgqpL5LrQEQ07JwqvSbUEoPaCKS/AJgwGTS82fcVhEnOHVjfY0x
CrIGXbNNlEZfwGGf2yqHU1YT7wDdPU168holpJzI3EBKBdZK5cEbxw7ZFyaOD8QK8KWZbxQIVRv1
HGQR6LD6j6CSCHmodvSyGPNMyRkhHrlLRfta29DFi1E6f4dMKRU3RHTgkIS0h9tAqg9RL2HE8OtA
CvOBph3QyQ58L7J80htgCQsD04HkKUaiYYiq1WCH24z9ea7341ldgwgqHW3ppj6C3OTiQNBJVLzP
Td0co74Hvkc/Aaq0MQ3tBBn0szDcuoOpz5OWxVKiewX7AzqUhmIiVgVGdjZaykUq2CFi21qLzE7I
SVjCOkvk+U/ZlD5gLg4PYrzy1OjBQX+sk0wT3PsIy614U1VPmRlt9/t9MFT1fNTFykzYGSjr4cc5
wUmsiQyoxMjaqaNdZW14ogTjRnOjnSMrI0JNtrrClgM347JE8cBFuirVk00bx1tRse1YVbobWy6C
ePIirNGSM/ThbFEiVWGY/LWbAu6o2s9+g9IZgh8NzzdsYmcAgG3d2O4l1omAiAJ1g+Ykgnt0XKmc
4z/bb4DI7vbbVBWsos4/d+S/dsLuJjTR9G7dlT8RWw/BRQu5PNAQxdkPWGGNC6GmG2TGtoMWYVYu
d0cebeYl5qIT4VPo1Hx8nSPLz6azIGFI/ZbwWJC7yc+JlAfdp7VSysQjZkoUGtYcqCMtangWWm3e
gfK/dj11k+XkWYH4jLQPymOMEwJLN5nGrpqPHK5LIEa7Rk/RBIXCo44bz6N4hZSeMZNmC0oI8B5w
LjaifBQsGcalvKjj8CwwoyTk6GIM5FHT8/R1v0HGMOFMbCR3PdmBOAUDJ0W03Qk+Jkp3s7GLt9DX
icupSPF4eNUuNc58HVxHFdcfwY4hzVbl4TGpBSXUXvLzTkKPNopqe7gAaZoJQl6/6Do4eh5c0hkM
snHmGmId6wyHr/NNq4xUEbQujg8gLxxaVxS9UOAv/WtswK+wuH4ypZCx2S/hQjlECAHOC7XytUSm
CVFgFOfQS2R9INlq2Qj5yxeOWLnHCRZqUDDv9BGv266/YaV5+8lBq+TEzYHv00dkrrow0zAbQhN0
cheOw85Dg+mLDdtu9PnauBDqCAVhhhapEEoVZTijNbslR7pte+OTUnCMOCVGXhq1RtlN1Or2RkNF
BwXN4dxkJSlOtC0z+5IyH8xgPbkSJbD7cArXIubx8uoxqSyeoVTJsTlWOCywbzdRmpT3R8hVAog5
zFBTWg5VV0Ef5vNI+6e5UKIHjBtXde5D+w2Kc2QIvphEbCi0VwNn3ihCmlToh9HCG1aA4kewzuVn
BwLKxO/sp/J+7ZkkZk3NoaFb6U7GfjTwyCUb9UaFBd0i+z5vmyBbahUnszJGx4UqxTwtdvSJTaZm
ZnF8FzMaU4ifMc/3x1hMDjT3lHDnW9HObFMCrpqD1sc4RbTwPwF3BnInck1kN0Lvjo1Ko2U6389C
ZKlAdofR1h6Z5E3UY4I+UvFIuzVOYltQ+bAImnCXlJ0KJhqFgCHctTbUQp8KaRISoMQxoLP2gRIM
OhtBLVmFG/QHEZwUOBrXSMSpG0PO2prjdkqwBJxSJoAgvqqmYJc6w81+RkDRhbpa8RBDd1wAYC+z
dFsky6YYsDeEwdyZq1I4aHYpHBLUAW2U8eeGgiyNFmobE2s5Io9iYcqozPezbKlSejOgIRwPtrsu
GnfVtdJPmC1iHsWUZghj8YlVYOkOnx3kTPBdlZMx9e15SoMtSuKdkBdTNIZFyDBc1fxdZFF2sOpT
BEiWHvYYC2fKk2XqTFSMpRdqpgcoBXMFzEr2AaTh6RdmGQP8Synx758uK4uVoWwMhdJA4Q0YZtjE
uz4SUnWDStI0YawxkgdMqMnQe3PFfALjc1ya8zClqteP6dZtiOdrI7wzq+7CoMYF309K9TqE0PW1
4k7f9rNahrH710Jr8sQcxpv94DdGrS0dVLHCydhVGnKQpc8aU+uQbcdu5xBDa2ikDb1SO3ePqe+u
EWBD4MagfI7sdV0hHNvQd/OxM2k8FJ9NKXQmbeIgLtrfstGRoQ8j5lb+p8AP6wXtRO0s6coTm0nd
eeVwPfhIkAVS9aQ99qosv8vhawu1lMpgiOO0FSLW4ZCfUz0YEOpwxpWdizNfi8WyMuy1RQ48byw0
sPWsfaiSbEQllOg11tUvBhbBuR0joREq40VO6y9qskd9IKQarZoZWNj39pScT54knUNFh1GHbm0d
u+isZgjk8mqOxotm6DTPnftsCuLTcrTj2VyhWrJ04aLLVnBACy+H/xg/Y2NrByaLVrKZFGiBug18
HjSuF6WKIoxNF9pq1TO3syR9pruHogaFysNuLSStfUCUFFKh4CiaqPj4Hr420PZ8+gbzB685N8Y1
nHy4Xi5VeHwj4zVmGhh7urkEs+YrXKEq2PE3FA772dRyeMOZv2ItbYWbrgIfN4Wkh8qTDHMa+qvW
E5duQacxCdVLWl3nCWh1ZjKCSb5D8qAZnKkp/GY1jde61m2nmMIxjjoXSsRGgT4P4IzG+hgPIXqC
44VwBmVVYmKsleGZ3FJjg5dQ2XKqiXabOcLHp4S9b4N7GlOqdjXwQSqpRa/B7YXZ48hjlm4m4bLa
fVJbtr3QY1LSdxxwuKO1BskIEA49CVC09sz6FunutVA6omQmSJVDrkYnqF44KoIwLslpV5nzoqxR
NUOjaCEonoqqve51RDA9g6DVV+7a0D3vw5K4YQrRoEDk06uUR6zCz8aGALfV6aUWBjKf9JZndsZl
wL2snLyimVOuU5Qc6PrKbpQHKc4XwceIgk1PbpKKYm0GyH+XBbI5AWZbqQYlKCm8O0c9rYbBpJZC
1rjvfHi+gg5/gPBvF1KVBymRT7V47mzhM4aImYtldOtJ/63Ov91vRY54MCIfBpkU7qe7fDyFPaRg
+XWGGkfFuivXmRLPQ4sulp4g5pdl/sMIfm85Oc3GDXU44jqmSxT+rYInQdwG5b8UkaaW8VPEve+O
SI1JIYbA4z/7uwrczdB3lqTDyT4Jo70X2pMr6DdAPsCPaCDZ32/ydVt+qYk02s9Fp5vH+92iQLdJ
QMqE8jrrJvcJVY4TyyD4d3yMPoBlUxe4b2XhNG9OUyFuUOaQIOYIZHGykwBo2P8U4oAJKJG69dHN
/l+wNhK49hrYBn8EcBN+FMKUHI4fFU1aUcdQFlOKxDmJCY18krS2W9pwyGcSFbBPKygIfvhL9OX6
+fpvKBo/43u4rbBMS6cFCcxQf4vvQapkiicLktW+s7yyJ+NmRgtQTLdWW60HULy4AyWzZ7zy/389
npc3WGybrTR2bMaP7RNo5ae6BSazlwLCR0X+9DoPs+Yu/+9+6dcX+u1pf+e7sXj6/cNj3maNfAI/
zLPX1CQAWa8+9Z+PtH/eX10h2fJa7TcuLYwjVHRUhHSEhVbynpiU5EiTP/9YQ+iHWcFctACVW9bz
7V4N0D8Nwa/f7nksf/07b55/+w0fchLCpgJp83oEaC/9ZyPwwxVejYB+BEfCxH3FMMH4g2v98Nvr
ETCOYHKpDBIcSjSNBOA3FJXe0RAIVu3Bg2AeQRgA6wnTgUq5Jl1tXg2CfWQ4Nrg/FaUuS1Jd3t0g
PKtTvZG62k/Nn5fCP08E9UhIqSvT4gVBdqsgd1+NgWYdgYyUU4HahhAM0nubCJoGHPvQ1WAdaaaB
6ZH4ru31dhCMI9UUmmC1sGVI/6N3Nwgurf9DB8E8snRkxTRhACS2TfvtluAe2RbAZ03YqrFnc767
QTDNl23q2fPrFwfDP64Gwz1SEXETNit/vyUwqG9XgyFseKvIEWBIKRHi72tXRHru+Zn++yEQKsxc
FXlCFjtgeKETF70eAnHkgP020LODF6aLd3c2GoZtwsw4bFM0jgSf93mePwv9vR4CDcozywPCo0XE
ClPgvU0DTeV0PHQMBDGS6cKs1uFTs/O9PRw17Ug1KGlCvyKS4o/vbjvQHF0cvCdqR0Q/6I2A3jYg
hwhm1uuZoLMpWvwtSYswQTA9T7z3FCZpEJYOnQkaCpbCYKYL1rsqrB9CBCaKa2oyioSaYhE4v7fl
oCO/+bxPHbAtmpwMSAtolkwNVBLrNzPBPnJ1QkmZw7o6Tjfac0jyjmaCbqE8e+hMUFkOLASDhgXm
DHsK3OvlYMkIwhXcSDPZEqTew/s6H6WqhSF56gcdD4bNjGcghCALMQAG/3REQo/6S9pCrpf3NQwG
D33wXLCOXseKf3M+IBjCHowsLixgUod3Nwh8PSieB80EoaP7SwXJtC3dNVj8P8SLOo6qZFcwyWTE
RHrx/gYB2cRDB4HEYS+5gMaLJdc9B8DrXUGTtQQNq0j2DE5S4/8QNf8H++eftak5ZLtv+6pU+FT/
XfHqn37he0Xm55+/VGNOv/3+QRad3vyiLFI93/uvotW/3iQW+3LJqx9+L5/s7/Pyz19e8Odbv7nX
97f6/pcn4VMlVazH/Q/Gl8eUEt6/f/jja9VOU/hTueivB/n9w5vHfPX1f3Xd2RaLhPCRAuDrSz9X
IA699nybbL/+4Fj8nM0dfuW02GZvvZCfk6RDrwz7IQm3yk2ebn+QTnqJvg+9waoK2yRUNk/Z0xRu
fzuW//dm7F8qH4fe55yyaJu+/qgvkfPBF/5nG+pXZd7/Zi6e5+lXNKvGNw/9XAI59KGf1eHr11dG
9UDSrQ+98nX49A1jrDeF3JfI9NBL/4G9zNu58RLtHXrhu7Z+3GZvxvklvz74ygCrmjDLlT8wwPzt
j2+h//R9iOV2+xKhHHqXT+mP2wpBmzz1D72wXJVN/v06+ycW+5P00Atf5ElYvxkK8ZzCHXrhzTZJ
nn779j9/5PXbLfylkn7o9W/DxzB5M1P+DLYPvjRrPfxhE/9Ln+6Xe8nfna9/9jF+PnW/t2j+7p+9
DSnkbzwmT9vqX/8GAAD//w==</cx:binary>
              </cx:geoCache>
            </cx:geography>
          </cx:layoutPr>
          <cx:valueColors>
            <cx:minColor>
              <a:srgbClr val="FFF1E1"/>
            </cx:minColor>
            <cx:maxColor>
              <a:schemeClr val="accent3"/>
            </cx:maxColor>
          </cx:valueColors>
        </cx:series>
      </cx:plotAreaRegion>
    </cx:plotArea>
    <cx:legend pos="b" align="ctr" overlay="0">
      <cx:spPr>
        <a:noFill/>
      </cx:spPr>
      <cx:txPr>
        <a:bodyPr spcFirstLastPara="1" vertOverflow="ellipsis" horzOverflow="overflow" wrap="square" lIns="0" tIns="0" rIns="0" bIns="0" anchor="ctr" anchorCtr="1"/>
        <a:lstStyle/>
        <a:p>
          <a:pPr algn="ctr" rtl="0">
            <a:defRPr b="1">
              <a:latin typeface="Arial" panose="020B0604020202020204" pitchFamily="34" charset="0"/>
              <a:ea typeface="Arial" panose="020B0604020202020204" pitchFamily="34" charset="0"/>
              <a:cs typeface="Arial" panose="020B0604020202020204" pitchFamily="34" charset="0"/>
            </a:defRPr>
          </a:pPr>
          <a:endParaRPr lang="it-IT" sz="900" b="1" i="0" u="none" strike="noStrike" baseline="0">
            <a:solidFill>
              <a:sysClr val="windowText" lastClr="000000">
                <a:lumMod val="65000"/>
                <a:lumOff val="35000"/>
              </a:sysClr>
            </a:solidFill>
            <a:latin typeface="Arial" panose="020B0604020202020204" pitchFamily="34" charset="0"/>
            <a:cs typeface="Arial" panose="020B0604020202020204" pitchFamily="34" charset="0"/>
          </a:endParaRPr>
        </a:p>
      </cx:txPr>
    </cx:legend>
  </cx:chart>
  <cx:spPr>
    <a:noFill/>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withinLinear" id="14">
  <a:schemeClr val="accent1"/>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Style="combo" dx="22" fmlaLink="'Plants Input'!$K$13" fmlaRange="'Plants Input'!$L$2:$L$9" noThreeD="1" sel="1" val="0"/>
</file>

<file path=xl/drawings/_rels/drawing1.xml.rels><?xml version="1.0" encoding="UTF-8" standalone="yes"?>
<Relationships xmlns="http://schemas.openxmlformats.org/package/2006/relationships"><Relationship Id="rId8" Type="http://schemas.openxmlformats.org/officeDocument/2006/relationships/hyperlink" Target="#Volumes!A1"/><Relationship Id="rId13" Type="http://schemas.openxmlformats.org/officeDocument/2006/relationships/hyperlink" Target="#'Plants-Thermo'!A1"/><Relationship Id="rId18" Type="http://schemas.openxmlformats.org/officeDocument/2006/relationships/image" Target="../media/image5.png"/><Relationship Id="rId26" Type="http://schemas.openxmlformats.org/officeDocument/2006/relationships/hyperlink" Target="#'Sep-BS'!A1"/><Relationship Id="rId3" Type="http://schemas.openxmlformats.org/officeDocument/2006/relationships/hyperlink" Target="#Dashboard!A1"/><Relationship Id="rId21" Type="http://schemas.openxmlformats.org/officeDocument/2006/relationships/image" Target="../media/image8.svg"/><Relationship Id="rId7" Type="http://schemas.openxmlformats.org/officeDocument/2006/relationships/hyperlink" Target="#'Cash Flow'!A1"/><Relationship Id="rId12" Type="http://schemas.openxmlformats.org/officeDocument/2006/relationships/hyperlink" Target="#'Plants-Summary'!A1"/><Relationship Id="rId17" Type="http://schemas.openxmlformats.org/officeDocument/2006/relationships/image" Target="../media/image4.svg"/><Relationship Id="rId25" Type="http://schemas.openxmlformats.org/officeDocument/2006/relationships/hyperlink" Target="#'Sep-P&amp;L'!A1"/><Relationship Id="rId33" Type="http://schemas.openxmlformats.org/officeDocument/2006/relationships/image" Target="../media/image10.svg"/><Relationship Id="rId2" Type="http://schemas.openxmlformats.org/officeDocument/2006/relationships/image" Target="../media/image2.png"/><Relationship Id="rId16" Type="http://schemas.openxmlformats.org/officeDocument/2006/relationships/image" Target="../media/image3.png"/><Relationship Id="rId20" Type="http://schemas.openxmlformats.org/officeDocument/2006/relationships/image" Target="../media/image7.png"/><Relationship Id="rId29" Type="http://schemas.openxmlformats.org/officeDocument/2006/relationships/hyperlink" Target="#Demand!A1"/><Relationship Id="rId1" Type="http://schemas.openxmlformats.org/officeDocument/2006/relationships/image" Target="../media/image1.jpeg"/><Relationship Id="rId6" Type="http://schemas.openxmlformats.org/officeDocument/2006/relationships/hyperlink" Target="#'Balance Sheet'!A1"/><Relationship Id="rId11" Type="http://schemas.openxmlformats.org/officeDocument/2006/relationships/hyperlink" Target="#'Quarterly data'!A1"/><Relationship Id="rId24" Type="http://schemas.openxmlformats.org/officeDocument/2006/relationships/hyperlink" Target="#'Plants-E.Efficiency'!A1"/><Relationship Id="rId32" Type="http://schemas.openxmlformats.org/officeDocument/2006/relationships/image" Target="../media/image9.png"/><Relationship Id="rId5" Type="http://schemas.openxmlformats.org/officeDocument/2006/relationships/hyperlink" Target="#Costs!A1"/><Relationship Id="rId15" Type="http://schemas.openxmlformats.org/officeDocument/2006/relationships/hyperlink" Target="#'Plants-RES'!A1"/><Relationship Id="rId23" Type="http://schemas.openxmlformats.org/officeDocument/2006/relationships/hyperlink" Target="https://www.edison.it/en/investor-relations" TargetMode="External"/><Relationship Id="rId28" Type="http://schemas.openxmlformats.org/officeDocument/2006/relationships/hyperlink" Target="#Prices!A1"/><Relationship Id="rId10" Type="http://schemas.openxmlformats.org/officeDocument/2006/relationships/hyperlink" Target="#'Results by Division'!A1"/><Relationship Id="rId19" Type="http://schemas.openxmlformats.org/officeDocument/2006/relationships/image" Target="../media/image6.svg"/><Relationship Id="rId31" Type="http://schemas.openxmlformats.org/officeDocument/2006/relationships/hyperlink" Target="https://www.edison.it/en/reports-and-related-documents" TargetMode="External"/><Relationship Id="rId4" Type="http://schemas.openxmlformats.org/officeDocument/2006/relationships/hyperlink" Target="#'P&amp;L'!A1"/><Relationship Id="rId9" Type="http://schemas.openxmlformats.org/officeDocument/2006/relationships/hyperlink" Target="#Environment!A1"/><Relationship Id="rId14" Type="http://schemas.openxmlformats.org/officeDocument/2006/relationships/hyperlink" Target="#'Plants-Hydro '!A1"/><Relationship Id="rId22" Type="http://schemas.openxmlformats.org/officeDocument/2006/relationships/hyperlink" Target="mailto:investor.relations@edison.it" TargetMode="External"/><Relationship Id="rId27" Type="http://schemas.openxmlformats.org/officeDocument/2006/relationships/hyperlink" Target="#'Sep-Equity'!A1"/><Relationship Id="rId30" Type="http://schemas.openxmlformats.org/officeDocument/2006/relationships/hyperlink" Target="#Social!A1"/></Relationships>
</file>

<file path=xl/drawings/_rels/drawing10.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Table of Contents'!A1"/><Relationship Id="rId1" Type="http://schemas.openxmlformats.org/officeDocument/2006/relationships/image" Target="../media/image2.png"/><Relationship Id="rId4" Type="http://schemas.openxmlformats.org/officeDocument/2006/relationships/image" Target="../media/image13.svg"/></Relationships>
</file>

<file path=xl/drawings/_rels/drawing11.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Table of Contents'!A1"/><Relationship Id="rId1" Type="http://schemas.openxmlformats.org/officeDocument/2006/relationships/image" Target="../media/image2.png"/><Relationship Id="rId4" Type="http://schemas.openxmlformats.org/officeDocument/2006/relationships/image" Target="../media/image13.svg"/></Relationships>
</file>

<file path=xl/drawings/_rels/drawing12.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Table of Contents'!A1"/><Relationship Id="rId1" Type="http://schemas.openxmlformats.org/officeDocument/2006/relationships/image" Target="../media/image2.png"/><Relationship Id="rId4" Type="http://schemas.openxmlformats.org/officeDocument/2006/relationships/image" Target="../media/image13.svg"/></Relationships>
</file>

<file path=xl/drawings/_rels/drawing13.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Table of Contents'!A1"/><Relationship Id="rId1" Type="http://schemas.openxmlformats.org/officeDocument/2006/relationships/image" Target="../media/image2.png"/><Relationship Id="rId4" Type="http://schemas.openxmlformats.org/officeDocument/2006/relationships/image" Target="../media/image13.svg"/></Relationships>
</file>

<file path=xl/drawings/_rels/drawing14.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Table of Contents'!A1"/><Relationship Id="rId1" Type="http://schemas.openxmlformats.org/officeDocument/2006/relationships/image" Target="../media/image2.png"/><Relationship Id="rId4" Type="http://schemas.openxmlformats.org/officeDocument/2006/relationships/image" Target="../media/image13.svg"/></Relationships>
</file>

<file path=xl/drawings/_rels/drawing15.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Table of Contents'!A1"/><Relationship Id="rId1" Type="http://schemas.openxmlformats.org/officeDocument/2006/relationships/image" Target="../media/image2.png"/><Relationship Id="rId4" Type="http://schemas.openxmlformats.org/officeDocument/2006/relationships/image" Target="../media/image13.svg"/></Relationships>
</file>

<file path=xl/drawings/_rels/drawing16.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Table of Contents'!A1"/><Relationship Id="rId1" Type="http://schemas.openxmlformats.org/officeDocument/2006/relationships/image" Target="../media/image2.png"/><Relationship Id="rId4" Type="http://schemas.openxmlformats.org/officeDocument/2006/relationships/image" Target="../media/image13.svg"/></Relationships>
</file>

<file path=xl/drawings/_rels/drawing17.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Table of Contents'!A1"/><Relationship Id="rId1" Type="http://schemas.openxmlformats.org/officeDocument/2006/relationships/image" Target="../media/image2.png"/><Relationship Id="rId4" Type="http://schemas.openxmlformats.org/officeDocument/2006/relationships/image" Target="../media/image13.svg"/></Relationships>
</file>

<file path=xl/drawings/_rels/drawing18.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Table of Contents'!A1"/><Relationship Id="rId1" Type="http://schemas.openxmlformats.org/officeDocument/2006/relationships/image" Target="../media/image2.png"/><Relationship Id="rId4" Type="http://schemas.openxmlformats.org/officeDocument/2006/relationships/image" Target="../media/image13.svg"/></Relationships>
</file>

<file path=xl/drawings/_rels/drawing19.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Table of Contents'!A1"/><Relationship Id="rId1" Type="http://schemas.openxmlformats.org/officeDocument/2006/relationships/image" Target="../media/image2.png"/><Relationship Id="rId4" Type="http://schemas.openxmlformats.org/officeDocument/2006/relationships/image" Target="../media/image13.svg"/></Relationships>
</file>

<file path=xl/drawings/_rels/drawing2.xml.rels><?xml version="1.0" encoding="UTF-8" standalone="yes"?>
<Relationships xmlns="http://schemas.openxmlformats.org/package/2006/relationships"><Relationship Id="rId8" Type="http://schemas.openxmlformats.org/officeDocument/2006/relationships/hyperlink" Target="#'Table of Contents'!A1"/><Relationship Id="rId13" Type="http://schemas.openxmlformats.org/officeDocument/2006/relationships/chart" Target="../charts/chart7.xml"/><Relationship Id="rId18" Type="http://schemas.openxmlformats.org/officeDocument/2006/relationships/chart" Target="../charts/chart11.xml"/><Relationship Id="rId3" Type="http://schemas.openxmlformats.org/officeDocument/2006/relationships/chart" Target="../charts/chart2.xml"/><Relationship Id="rId7" Type="http://schemas.openxmlformats.org/officeDocument/2006/relationships/image" Target="../media/image2.png"/><Relationship Id="rId12" Type="http://schemas.openxmlformats.org/officeDocument/2006/relationships/chart" Target="../charts/chart6.xml"/><Relationship Id="rId17" Type="http://schemas.microsoft.com/office/2014/relationships/chartEx" Target="../charts/chartEx2.xml"/><Relationship Id="rId2" Type="http://schemas.openxmlformats.org/officeDocument/2006/relationships/image" Target="../media/image11.png"/><Relationship Id="rId16" Type="http://schemas.openxmlformats.org/officeDocument/2006/relationships/chart" Target="../charts/chart10.xml"/><Relationship Id="rId1" Type="http://schemas.openxmlformats.org/officeDocument/2006/relationships/chart" Target="../charts/chart1.xml"/><Relationship Id="rId6" Type="http://schemas.openxmlformats.org/officeDocument/2006/relationships/chart" Target="../charts/chart5.xml"/><Relationship Id="rId11" Type="http://schemas.microsoft.com/office/2014/relationships/chartEx" Target="../charts/chartEx1.xml"/><Relationship Id="rId5" Type="http://schemas.openxmlformats.org/officeDocument/2006/relationships/chart" Target="../charts/chart4.xml"/><Relationship Id="rId15" Type="http://schemas.openxmlformats.org/officeDocument/2006/relationships/chart" Target="../charts/chart9.xml"/><Relationship Id="rId10" Type="http://schemas.openxmlformats.org/officeDocument/2006/relationships/image" Target="../media/image13.svg"/><Relationship Id="rId4" Type="http://schemas.openxmlformats.org/officeDocument/2006/relationships/chart" Target="../charts/chart3.xml"/><Relationship Id="rId9" Type="http://schemas.openxmlformats.org/officeDocument/2006/relationships/image" Target="../media/image12.png"/><Relationship Id="rId14" Type="http://schemas.openxmlformats.org/officeDocument/2006/relationships/chart" Target="../charts/chart8.xml"/></Relationships>
</file>

<file path=xl/drawings/_rels/drawing20.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Table of Contents'!A1"/><Relationship Id="rId1" Type="http://schemas.openxmlformats.org/officeDocument/2006/relationships/image" Target="../media/image2.png"/><Relationship Id="rId4" Type="http://schemas.openxmlformats.org/officeDocument/2006/relationships/image" Target="../media/image13.svg"/></Relationships>
</file>

<file path=xl/drawings/_rels/drawing21.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Table of Contents'!A1"/><Relationship Id="rId1" Type="http://schemas.openxmlformats.org/officeDocument/2006/relationships/image" Target="../media/image2.png"/><Relationship Id="rId4" Type="http://schemas.openxmlformats.org/officeDocument/2006/relationships/image" Target="../media/image13.svg"/></Relationships>
</file>

<file path=xl/drawings/_rels/drawing3.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Table of Contents'!A1"/><Relationship Id="rId1" Type="http://schemas.openxmlformats.org/officeDocument/2006/relationships/image" Target="../media/image2.png"/><Relationship Id="rId4" Type="http://schemas.openxmlformats.org/officeDocument/2006/relationships/image" Target="../media/image13.svg"/></Relationships>
</file>

<file path=xl/drawings/_rels/drawing4.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Table of Contents'!A1"/><Relationship Id="rId1" Type="http://schemas.openxmlformats.org/officeDocument/2006/relationships/image" Target="../media/image2.png"/><Relationship Id="rId4" Type="http://schemas.openxmlformats.org/officeDocument/2006/relationships/image" Target="../media/image13.svg"/></Relationships>
</file>

<file path=xl/drawings/_rels/drawing5.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Table of Contents'!A1"/><Relationship Id="rId1" Type="http://schemas.openxmlformats.org/officeDocument/2006/relationships/image" Target="../media/image2.png"/><Relationship Id="rId4" Type="http://schemas.openxmlformats.org/officeDocument/2006/relationships/image" Target="../media/image13.svg"/></Relationships>
</file>

<file path=xl/drawings/_rels/drawing6.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Table of Contents'!A1"/><Relationship Id="rId1" Type="http://schemas.openxmlformats.org/officeDocument/2006/relationships/image" Target="../media/image2.png"/><Relationship Id="rId4" Type="http://schemas.openxmlformats.org/officeDocument/2006/relationships/image" Target="../media/image13.svg"/></Relationships>
</file>

<file path=xl/drawings/_rels/drawing7.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Table of Contents'!A1"/><Relationship Id="rId1" Type="http://schemas.openxmlformats.org/officeDocument/2006/relationships/image" Target="../media/image2.png"/><Relationship Id="rId4" Type="http://schemas.openxmlformats.org/officeDocument/2006/relationships/image" Target="../media/image13.svg"/></Relationships>
</file>

<file path=xl/drawings/_rels/drawing8.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Table of Contents'!A1"/><Relationship Id="rId1" Type="http://schemas.openxmlformats.org/officeDocument/2006/relationships/image" Target="../media/image2.png"/><Relationship Id="rId4" Type="http://schemas.openxmlformats.org/officeDocument/2006/relationships/image" Target="../media/image13.svg"/></Relationships>
</file>

<file path=xl/drawings/_rels/drawing9.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Table of Contents'!A1"/><Relationship Id="rId1" Type="http://schemas.openxmlformats.org/officeDocument/2006/relationships/image" Target="../media/image2.png"/><Relationship Id="rId4" Type="http://schemas.openxmlformats.org/officeDocument/2006/relationships/image" Target="../media/image13.svg"/></Relationships>
</file>

<file path=xl/drawings/drawing1.xml><?xml version="1.0" encoding="utf-8"?>
<xdr:wsDr xmlns:xdr="http://schemas.openxmlformats.org/drawingml/2006/spreadsheetDrawing" xmlns:a="http://schemas.openxmlformats.org/drawingml/2006/main">
  <xdr:twoCellAnchor editAs="oneCell">
    <xdr:from>
      <xdr:col>17</xdr:col>
      <xdr:colOff>485773</xdr:colOff>
      <xdr:row>0</xdr:row>
      <xdr:rowOff>0</xdr:rowOff>
    </xdr:from>
    <xdr:to>
      <xdr:col>23</xdr:col>
      <xdr:colOff>601823</xdr:colOff>
      <xdr:row>34</xdr:row>
      <xdr:rowOff>92025</xdr:rowOff>
    </xdr:to>
    <xdr:pic>
      <xdr:nvPicPr>
        <xdr:cNvPr id="47" name="Segnaposto immagine 1" descr="foto copertina.jpg">
          <a:extLst>
            <a:ext uri="{FF2B5EF4-FFF2-40B4-BE49-F238E27FC236}">
              <a16:creationId xmlns:a16="http://schemas.microsoft.com/office/drawing/2014/main" id="{00000000-0008-0000-0000-00002F000000}"/>
            </a:ext>
          </a:extLst>
        </xdr:cNvPr>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13" b="113"/>
        <a:stretch>
          <a:fillRect/>
        </a:stretch>
      </xdr:blipFill>
      <xdr:spPr bwMode="auto">
        <a:xfrm>
          <a:off x="10848973" y="0"/>
          <a:ext cx="3773650" cy="6292800"/>
        </a:xfrm>
        <a:prstGeom prst="rect">
          <a:avLst/>
        </a:prstGeom>
        <a:noFill/>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17</xdr:col>
      <xdr:colOff>487200</xdr:colOff>
      <xdr:row>34</xdr:row>
      <xdr:rowOff>92251</xdr:rowOff>
    </xdr:to>
    <xdr:grpSp>
      <xdr:nvGrpSpPr>
        <xdr:cNvPr id="13" name="Gruppo 12">
          <a:extLst>
            <a:ext uri="{FF2B5EF4-FFF2-40B4-BE49-F238E27FC236}">
              <a16:creationId xmlns:a16="http://schemas.microsoft.com/office/drawing/2014/main" id="{00000000-0008-0000-0000-00000D000000}"/>
            </a:ext>
          </a:extLst>
        </xdr:cNvPr>
        <xdr:cNvGrpSpPr/>
      </xdr:nvGrpSpPr>
      <xdr:grpSpPr>
        <a:xfrm>
          <a:off x="0" y="0"/>
          <a:ext cx="10850400" cy="6293026"/>
          <a:chOff x="0" y="0"/>
          <a:chExt cx="10850400" cy="6293026"/>
        </a:xfrm>
      </xdr:grpSpPr>
      <xdr:grpSp>
        <xdr:nvGrpSpPr>
          <xdr:cNvPr id="11" name="Gruppo 10">
            <a:extLst>
              <a:ext uri="{FF2B5EF4-FFF2-40B4-BE49-F238E27FC236}">
                <a16:creationId xmlns:a16="http://schemas.microsoft.com/office/drawing/2014/main" id="{00000000-0008-0000-0000-00000B000000}"/>
              </a:ext>
            </a:extLst>
          </xdr:cNvPr>
          <xdr:cNvGrpSpPr/>
        </xdr:nvGrpSpPr>
        <xdr:grpSpPr>
          <a:xfrm>
            <a:off x="0" y="0"/>
            <a:ext cx="10850400" cy="6293026"/>
            <a:chOff x="0" y="0"/>
            <a:chExt cx="10850400" cy="6293026"/>
          </a:xfrm>
        </xdr:grpSpPr>
        <xdr:sp macro="" textlink="">
          <xdr:nvSpPr>
            <xdr:cNvPr id="2" name="Rettangolo 1">
              <a:extLst>
                <a:ext uri="{FF2B5EF4-FFF2-40B4-BE49-F238E27FC236}">
                  <a16:creationId xmlns:a16="http://schemas.microsoft.com/office/drawing/2014/main" id="{00000000-0008-0000-0000-000002000000}"/>
                </a:ext>
              </a:extLst>
            </xdr:cNvPr>
            <xdr:cNvSpPr/>
          </xdr:nvSpPr>
          <xdr:spPr>
            <a:xfrm>
              <a:off x="0" y="0"/>
              <a:ext cx="10848974" cy="6275492"/>
            </a:xfrm>
            <a:prstGeom prst="rect">
              <a:avLst/>
            </a:prstGeom>
            <a:solidFill>
              <a:srgbClr val="F9F9F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grpSp>
          <xdr:nvGrpSpPr>
            <xdr:cNvPr id="10" name="Gruppo 9">
              <a:extLst>
                <a:ext uri="{FF2B5EF4-FFF2-40B4-BE49-F238E27FC236}">
                  <a16:creationId xmlns:a16="http://schemas.microsoft.com/office/drawing/2014/main" id="{00000000-0008-0000-0000-00000A000000}"/>
                </a:ext>
              </a:extLst>
            </xdr:cNvPr>
            <xdr:cNvGrpSpPr/>
          </xdr:nvGrpSpPr>
          <xdr:grpSpPr>
            <a:xfrm>
              <a:off x="0" y="124769"/>
              <a:ext cx="10850400" cy="6168257"/>
              <a:chOff x="0" y="124769"/>
              <a:chExt cx="10850400" cy="6168257"/>
            </a:xfrm>
          </xdr:grpSpPr>
          <xdr:sp macro="" textlink="">
            <xdr:nvSpPr>
              <xdr:cNvPr id="55" name="Rettangolo 54">
                <a:extLst>
                  <a:ext uri="{FF2B5EF4-FFF2-40B4-BE49-F238E27FC236}">
                    <a16:creationId xmlns:a16="http://schemas.microsoft.com/office/drawing/2014/main" id="{00000000-0008-0000-0000-000037000000}"/>
                  </a:ext>
                </a:extLst>
              </xdr:cNvPr>
              <xdr:cNvSpPr/>
            </xdr:nvSpPr>
            <xdr:spPr>
              <a:xfrm>
                <a:off x="0" y="4105275"/>
                <a:ext cx="10850400" cy="2187751"/>
              </a:xfrm>
              <a:prstGeom prst="rect">
                <a:avLst/>
              </a:prstGeom>
              <a:solidFill>
                <a:schemeClr val="bg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pic>
            <xdr:nvPicPr>
              <xdr:cNvPr id="4" name="Immagin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0" y="143383"/>
                <a:ext cx="1344709" cy="460687"/>
              </a:xfrm>
              <a:prstGeom prst="rect">
                <a:avLst/>
              </a:prstGeom>
            </xdr:spPr>
          </xdr:pic>
          <xdr:sp macro="" textlink="">
            <xdr:nvSpPr>
              <xdr:cNvPr id="5" name="CasellaDiTesto 4">
                <a:extLst>
                  <a:ext uri="{FF2B5EF4-FFF2-40B4-BE49-F238E27FC236}">
                    <a16:creationId xmlns:a16="http://schemas.microsoft.com/office/drawing/2014/main" id="{00000000-0008-0000-0000-000005000000}"/>
                  </a:ext>
                </a:extLst>
              </xdr:cNvPr>
              <xdr:cNvSpPr txBox="1"/>
            </xdr:nvSpPr>
            <xdr:spPr>
              <a:xfrm>
                <a:off x="3648075" y="124769"/>
                <a:ext cx="4576110" cy="604652"/>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2800" b="1" u="none">
                    <a:solidFill>
                      <a:schemeClr val="tx2"/>
                    </a:solidFill>
                    <a:latin typeface="Arial" panose="020B0604020202020204" pitchFamily="34" charset="0"/>
                    <a:cs typeface="Arial" panose="020B0604020202020204" pitchFamily="34" charset="0"/>
                  </a:rPr>
                  <a:t>Table of Contents</a:t>
                </a:r>
                <a:endParaRPr lang="it-IT" sz="2800" b="0" u="none">
                  <a:solidFill>
                    <a:schemeClr val="tx2"/>
                  </a:solidFill>
                  <a:latin typeface="Arial" panose="020B0604020202020204" pitchFamily="34" charset="0"/>
                  <a:cs typeface="Arial" panose="020B0604020202020204" pitchFamily="34" charset="0"/>
                </a:endParaRPr>
              </a:p>
            </xdr:txBody>
          </xdr:sp>
          <xdr:cxnSp macro="">
            <xdr:nvCxnSpPr>
              <xdr:cNvPr id="6" name="Connettore diritto 5">
                <a:extLst>
                  <a:ext uri="{FF2B5EF4-FFF2-40B4-BE49-F238E27FC236}">
                    <a16:creationId xmlns:a16="http://schemas.microsoft.com/office/drawing/2014/main" id="{00000000-0008-0000-0000-000006000000}"/>
                  </a:ext>
                </a:extLst>
              </xdr:cNvPr>
              <xdr:cNvCxnSpPr/>
            </xdr:nvCxnSpPr>
            <xdr:spPr>
              <a:xfrm>
                <a:off x="3733800" y="595053"/>
                <a:ext cx="3024000" cy="0"/>
              </a:xfrm>
              <a:prstGeom prst="line">
                <a:avLst/>
              </a:prstGeom>
              <a:ln w="25400">
                <a:solidFill>
                  <a:schemeClr val="accent3"/>
                </a:solidFill>
              </a:ln>
            </xdr:spPr>
            <xdr:style>
              <a:lnRef idx="1">
                <a:schemeClr val="accent1"/>
              </a:lnRef>
              <a:fillRef idx="0">
                <a:schemeClr val="accent1"/>
              </a:fillRef>
              <a:effectRef idx="0">
                <a:schemeClr val="accent1"/>
              </a:effectRef>
              <a:fontRef idx="minor">
                <a:schemeClr val="tx1"/>
              </a:fontRef>
            </xdr:style>
          </xdr:cxnSp>
          <xdr:sp macro="" textlink="">
            <xdr:nvSpPr>
              <xdr:cNvPr id="7" name="CasellaDiTesto 6">
                <a:hlinkClick xmlns:r="http://schemas.openxmlformats.org/officeDocument/2006/relationships" r:id="rId3"/>
                <a:extLst>
                  <a:ext uri="{FF2B5EF4-FFF2-40B4-BE49-F238E27FC236}">
                    <a16:creationId xmlns:a16="http://schemas.microsoft.com/office/drawing/2014/main" id="{00000000-0008-0000-0000-000007000000}"/>
                  </a:ext>
                </a:extLst>
              </xdr:cNvPr>
              <xdr:cNvSpPr txBox="1"/>
            </xdr:nvSpPr>
            <xdr:spPr>
              <a:xfrm>
                <a:off x="514350" y="1410925"/>
                <a:ext cx="1133475" cy="3010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400" b="0" baseline="0">
                    <a:solidFill>
                      <a:schemeClr val="bg2">
                        <a:lumMod val="75000"/>
                      </a:schemeClr>
                    </a:solidFill>
                    <a:latin typeface="Arial" panose="020B0604020202020204" pitchFamily="34" charset="0"/>
                    <a:cs typeface="Arial" panose="020B0604020202020204" pitchFamily="34" charset="0"/>
                  </a:rPr>
                  <a:t>Dashboard</a:t>
                </a:r>
                <a:endParaRPr lang="it-IT" sz="1400" b="0">
                  <a:solidFill>
                    <a:schemeClr val="bg2">
                      <a:lumMod val="75000"/>
                    </a:schemeClr>
                  </a:solidFill>
                  <a:latin typeface="Arial" panose="020B0604020202020204" pitchFamily="34" charset="0"/>
                  <a:cs typeface="Arial" panose="020B0604020202020204" pitchFamily="34" charset="0"/>
                </a:endParaRPr>
              </a:p>
            </xdr:txBody>
          </xdr:sp>
          <xdr:sp macro="" textlink="">
            <xdr:nvSpPr>
              <xdr:cNvPr id="18" name="CasellaDiTesto 17">
                <a:extLst>
                  <a:ext uri="{FF2B5EF4-FFF2-40B4-BE49-F238E27FC236}">
                    <a16:creationId xmlns:a16="http://schemas.microsoft.com/office/drawing/2014/main" id="{00000000-0008-0000-0000-000012000000}"/>
                  </a:ext>
                </a:extLst>
              </xdr:cNvPr>
              <xdr:cNvSpPr txBox="1"/>
            </xdr:nvSpPr>
            <xdr:spPr>
              <a:xfrm>
                <a:off x="533400" y="1036617"/>
                <a:ext cx="1056773" cy="3010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400" b="1" baseline="0">
                    <a:solidFill>
                      <a:schemeClr val="bg2">
                        <a:lumMod val="75000"/>
                      </a:schemeClr>
                    </a:solidFill>
                    <a:latin typeface="Arial" panose="020B0604020202020204" pitchFamily="34" charset="0"/>
                    <a:cs typeface="Arial" panose="020B0604020202020204" pitchFamily="34" charset="0"/>
                  </a:rPr>
                  <a:t>Highlights</a:t>
                </a:r>
                <a:endParaRPr lang="it-IT" sz="1400" b="1">
                  <a:solidFill>
                    <a:schemeClr val="bg2">
                      <a:lumMod val="75000"/>
                    </a:schemeClr>
                  </a:solidFill>
                  <a:latin typeface="Arial" panose="020B0604020202020204" pitchFamily="34" charset="0"/>
                  <a:cs typeface="Arial" panose="020B0604020202020204" pitchFamily="34" charset="0"/>
                </a:endParaRPr>
              </a:p>
            </xdr:txBody>
          </xdr:sp>
          <xdr:cxnSp macro="">
            <xdr:nvCxnSpPr>
              <xdr:cNvPr id="19" name="Connettore diritto 18">
                <a:extLst>
                  <a:ext uri="{FF2B5EF4-FFF2-40B4-BE49-F238E27FC236}">
                    <a16:creationId xmlns:a16="http://schemas.microsoft.com/office/drawing/2014/main" id="{00000000-0008-0000-0000-000013000000}"/>
                  </a:ext>
                </a:extLst>
              </xdr:cNvPr>
              <xdr:cNvCxnSpPr/>
            </xdr:nvCxnSpPr>
            <xdr:spPr>
              <a:xfrm>
                <a:off x="466725" y="1350884"/>
                <a:ext cx="1188000" cy="0"/>
              </a:xfrm>
              <a:prstGeom prst="line">
                <a:avLst/>
              </a:prstGeom>
              <a:ln w="25400">
                <a:solidFill>
                  <a:schemeClr val="accent2"/>
                </a:solidFill>
              </a:ln>
            </xdr:spPr>
            <xdr:style>
              <a:lnRef idx="1">
                <a:schemeClr val="accent1"/>
              </a:lnRef>
              <a:fillRef idx="0">
                <a:schemeClr val="accent1"/>
              </a:fillRef>
              <a:effectRef idx="0">
                <a:schemeClr val="accent1"/>
              </a:effectRef>
              <a:fontRef idx="minor">
                <a:schemeClr val="tx1"/>
              </a:fontRef>
            </xdr:style>
          </xdr:cxnSp>
          <xdr:sp macro="" textlink="">
            <xdr:nvSpPr>
              <xdr:cNvPr id="20" name="CasellaDiTesto 19">
                <a:extLst>
                  <a:ext uri="{FF2B5EF4-FFF2-40B4-BE49-F238E27FC236}">
                    <a16:creationId xmlns:a16="http://schemas.microsoft.com/office/drawing/2014/main" id="{00000000-0008-0000-0000-000014000000}"/>
                  </a:ext>
                </a:extLst>
              </xdr:cNvPr>
              <xdr:cNvSpPr txBox="1"/>
            </xdr:nvSpPr>
            <xdr:spPr>
              <a:xfrm>
                <a:off x="3921919" y="1036617"/>
                <a:ext cx="1345406" cy="3010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400" b="1" baseline="0">
                    <a:solidFill>
                      <a:schemeClr val="bg2">
                        <a:lumMod val="75000"/>
                      </a:schemeClr>
                    </a:solidFill>
                    <a:latin typeface="Arial" panose="020B0604020202020204" pitchFamily="34" charset="0"/>
                    <a:cs typeface="Arial" panose="020B0604020202020204" pitchFamily="34" charset="0"/>
                  </a:rPr>
                  <a:t>Consolidated</a:t>
                </a:r>
                <a:endParaRPr lang="it-IT" sz="1400" b="1">
                  <a:solidFill>
                    <a:schemeClr val="bg2">
                      <a:lumMod val="75000"/>
                    </a:schemeClr>
                  </a:solidFill>
                  <a:latin typeface="Arial" panose="020B0604020202020204" pitchFamily="34" charset="0"/>
                  <a:cs typeface="Arial" panose="020B0604020202020204" pitchFamily="34" charset="0"/>
                </a:endParaRPr>
              </a:p>
            </xdr:txBody>
          </xdr:sp>
          <xdr:cxnSp macro="">
            <xdr:nvCxnSpPr>
              <xdr:cNvPr id="21" name="Connettore diritto 20">
                <a:extLst>
                  <a:ext uri="{FF2B5EF4-FFF2-40B4-BE49-F238E27FC236}">
                    <a16:creationId xmlns:a16="http://schemas.microsoft.com/office/drawing/2014/main" id="{00000000-0008-0000-0000-000015000000}"/>
                  </a:ext>
                </a:extLst>
              </xdr:cNvPr>
              <xdr:cNvCxnSpPr/>
            </xdr:nvCxnSpPr>
            <xdr:spPr>
              <a:xfrm>
                <a:off x="3987165" y="1350884"/>
                <a:ext cx="1188000" cy="0"/>
              </a:xfrm>
              <a:prstGeom prst="line">
                <a:avLst/>
              </a:prstGeom>
              <a:ln w="25400">
                <a:solidFill>
                  <a:schemeClr val="tx2"/>
                </a:solidFill>
              </a:ln>
            </xdr:spPr>
            <xdr:style>
              <a:lnRef idx="1">
                <a:schemeClr val="accent1"/>
              </a:lnRef>
              <a:fillRef idx="0">
                <a:schemeClr val="accent1"/>
              </a:fillRef>
              <a:effectRef idx="0">
                <a:schemeClr val="accent1"/>
              </a:effectRef>
              <a:fontRef idx="minor">
                <a:schemeClr val="tx1"/>
              </a:fontRef>
            </xdr:style>
          </xdr:cxnSp>
          <xdr:sp macro="" textlink="">
            <xdr:nvSpPr>
              <xdr:cNvPr id="24" name="CasellaDiTesto 23">
                <a:hlinkClick xmlns:r="http://schemas.openxmlformats.org/officeDocument/2006/relationships" r:id="rId4"/>
                <a:extLst>
                  <a:ext uri="{FF2B5EF4-FFF2-40B4-BE49-F238E27FC236}">
                    <a16:creationId xmlns:a16="http://schemas.microsoft.com/office/drawing/2014/main" id="{00000000-0008-0000-0000-000018000000}"/>
                  </a:ext>
                </a:extLst>
              </xdr:cNvPr>
              <xdr:cNvSpPr txBox="1"/>
            </xdr:nvSpPr>
            <xdr:spPr>
              <a:xfrm>
                <a:off x="4000500" y="1420450"/>
                <a:ext cx="1343025" cy="3010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400" b="0" baseline="0">
                    <a:solidFill>
                      <a:schemeClr val="bg2">
                        <a:lumMod val="75000"/>
                      </a:schemeClr>
                    </a:solidFill>
                    <a:latin typeface="Arial" panose="020B0604020202020204" pitchFamily="34" charset="0"/>
                    <a:cs typeface="Arial" panose="020B0604020202020204" pitchFamily="34" charset="0"/>
                  </a:rPr>
                  <a:t>Profit &amp; Loss</a:t>
                </a:r>
                <a:endParaRPr lang="it-IT" sz="1400" b="0">
                  <a:solidFill>
                    <a:schemeClr val="bg2">
                      <a:lumMod val="75000"/>
                    </a:schemeClr>
                  </a:solidFill>
                  <a:latin typeface="Arial" panose="020B0604020202020204" pitchFamily="34" charset="0"/>
                  <a:cs typeface="Arial" panose="020B0604020202020204" pitchFamily="34" charset="0"/>
                </a:endParaRPr>
              </a:p>
            </xdr:txBody>
          </xdr:sp>
          <xdr:sp macro="" textlink="">
            <xdr:nvSpPr>
              <xdr:cNvPr id="25" name="CasellaDiTesto 24">
                <a:hlinkClick xmlns:r="http://schemas.openxmlformats.org/officeDocument/2006/relationships" r:id="rId5"/>
                <a:extLst>
                  <a:ext uri="{FF2B5EF4-FFF2-40B4-BE49-F238E27FC236}">
                    <a16:creationId xmlns:a16="http://schemas.microsoft.com/office/drawing/2014/main" id="{00000000-0008-0000-0000-000019000000}"/>
                  </a:ext>
                </a:extLst>
              </xdr:cNvPr>
              <xdr:cNvSpPr txBox="1"/>
            </xdr:nvSpPr>
            <xdr:spPr>
              <a:xfrm>
                <a:off x="4000500" y="1704411"/>
                <a:ext cx="1343025" cy="3010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400" b="0" baseline="0">
                    <a:solidFill>
                      <a:schemeClr val="bg2">
                        <a:lumMod val="75000"/>
                      </a:schemeClr>
                    </a:solidFill>
                    <a:latin typeface="Arial" panose="020B0604020202020204" pitchFamily="34" charset="0"/>
                    <a:cs typeface="Arial" panose="020B0604020202020204" pitchFamily="34" charset="0"/>
                  </a:rPr>
                  <a:t>Costs</a:t>
                </a:r>
                <a:endParaRPr lang="it-IT" sz="1400" b="0">
                  <a:solidFill>
                    <a:schemeClr val="bg2">
                      <a:lumMod val="75000"/>
                    </a:schemeClr>
                  </a:solidFill>
                  <a:latin typeface="Arial" panose="020B0604020202020204" pitchFamily="34" charset="0"/>
                  <a:cs typeface="Arial" panose="020B0604020202020204" pitchFamily="34" charset="0"/>
                </a:endParaRPr>
              </a:p>
            </xdr:txBody>
          </xdr:sp>
          <xdr:sp macro="" textlink="">
            <xdr:nvSpPr>
              <xdr:cNvPr id="26" name="CasellaDiTesto 25">
                <a:hlinkClick xmlns:r="http://schemas.openxmlformats.org/officeDocument/2006/relationships" r:id="rId6"/>
                <a:extLst>
                  <a:ext uri="{FF2B5EF4-FFF2-40B4-BE49-F238E27FC236}">
                    <a16:creationId xmlns:a16="http://schemas.microsoft.com/office/drawing/2014/main" id="{00000000-0008-0000-0000-00001A000000}"/>
                  </a:ext>
                </a:extLst>
              </xdr:cNvPr>
              <xdr:cNvSpPr txBox="1"/>
            </xdr:nvSpPr>
            <xdr:spPr>
              <a:xfrm>
                <a:off x="4000500" y="1988372"/>
                <a:ext cx="1343025" cy="3010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400" b="0" baseline="0">
                    <a:solidFill>
                      <a:schemeClr val="bg2">
                        <a:lumMod val="75000"/>
                      </a:schemeClr>
                    </a:solidFill>
                    <a:latin typeface="Arial" panose="020B0604020202020204" pitchFamily="34" charset="0"/>
                    <a:cs typeface="Arial" panose="020B0604020202020204" pitchFamily="34" charset="0"/>
                  </a:rPr>
                  <a:t>Balance Sheet</a:t>
                </a:r>
                <a:endParaRPr lang="it-IT" sz="1400" b="0">
                  <a:solidFill>
                    <a:schemeClr val="bg2">
                      <a:lumMod val="75000"/>
                    </a:schemeClr>
                  </a:solidFill>
                  <a:latin typeface="Arial" panose="020B0604020202020204" pitchFamily="34" charset="0"/>
                  <a:cs typeface="Arial" panose="020B0604020202020204" pitchFamily="34" charset="0"/>
                </a:endParaRPr>
              </a:p>
            </xdr:txBody>
          </xdr:sp>
          <xdr:sp macro="" textlink="">
            <xdr:nvSpPr>
              <xdr:cNvPr id="27" name="CasellaDiTesto 26">
                <a:hlinkClick xmlns:r="http://schemas.openxmlformats.org/officeDocument/2006/relationships" r:id="rId7"/>
                <a:extLst>
                  <a:ext uri="{FF2B5EF4-FFF2-40B4-BE49-F238E27FC236}">
                    <a16:creationId xmlns:a16="http://schemas.microsoft.com/office/drawing/2014/main" id="{00000000-0008-0000-0000-00001B000000}"/>
                  </a:ext>
                </a:extLst>
              </xdr:cNvPr>
              <xdr:cNvSpPr txBox="1"/>
            </xdr:nvSpPr>
            <xdr:spPr>
              <a:xfrm>
                <a:off x="4000500" y="2272333"/>
                <a:ext cx="1638300" cy="3010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400" b="0" baseline="0">
                    <a:solidFill>
                      <a:schemeClr val="bg2">
                        <a:lumMod val="75000"/>
                      </a:schemeClr>
                    </a:solidFill>
                    <a:latin typeface="Arial" panose="020B0604020202020204" pitchFamily="34" charset="0"/>
                    <a:cs typeface="Arial" panose="020B0604020202020204" pitchFamily="34" charset="0"/>
                  </a:rPr>
                  <a:t>Cash Flow</a:t>
                </a:r>
                <a:endParaRPr lang="it-IT" sz="1400" b="0">
                  <a:solidFill>
                    <a:schemeClr val="bg2">
                      <a:lumMod val="75000"/>
                    </a:schemeClr>
                  </a:solidFill>
                  <a:latin typeface="Arial" panose="020B0604020202020204" pitchFamily="34" charset="0"/>
                  <a:cs typeface="Arial" panose="020B0604020202020204" pitchFamily="34" charset="0"/>
                </a:endParaRPr>
              </a:p>
            </xdr:txBody>
          </xdr:sp>
          <xdr:sp macro="" textlink="">
            <xdr:nvSpPr>
              <xdr:cNvPr id="28" name="CasellaDiTesto 27">
                <a:hlinkClick xmlns:r="http://schemas.openxmlformats.org/officeDocument/2006/relationships" r:id="rId8"/>
                <a:extLst>
                  <a:ext uri="{FF2B5EF4-FFF2-40B4-BE49-F238E27FC236}">
                    <a16:creationId xmlns:a16="http://schemas.microsoft.com/office/drawing/2014/main" id="{00000000-0008-0000-0000-00001C000000}"/>
                  </a:ext>
                </a:extLst>
              </xdr:cNvPr>
              <xdr:cNvSpPr txBox="1"/>
            </xdr:nvSpPr>
            <xdr:spPr>
              <a:xfrm>
                <a:off x="4000500" y="3076738"/>
                <a:ext cx="1343025" cy="3010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400" b="0" baseline="0">
                    <a:solidFill>
                      <a:schemeClr val="bg2">
                        <a:lumMod val="75000"/>
                      </a:schemeClr>
                    </a:solidFill>
                    <a:latin typeface="Arial" panose="020B0604020202020204" pitchFamily="34" charset="0"/>
                    <a:cs typeface="Arial" panose="020B0604020202020204" pitchFamily="34" charset="0"/>
                  </a:rPr>
                  <a:t>Volumes</a:t>
                </a:r>
                <a:endParaRPr lang="it-IT" sz="1400" b="0">
                  <a:solidFill>
                    <a:schemeClr val="bg2">
                      <a:lumMod val="75000"/>
                    </a:schemeClr>
                  </a:solidFill>
                  <a:latin typeface="Arial" panose="020B0604020202020204" pitchFamily="34" charset="0"/>
                  <a:cs typeface="Arial" panose="020B0604020202020204" pitchFamily="34" charset="0"/>
                </a:endParaRPr>
              </a:p>
            </xdr:txBody>
          </xdr:sp>
          <xdr:sp macro="" textlink="">
            <xdr:nvSpPr>
              <xdr:cNvPr id="29" name="CasellaDiTesto 28">
                <a:hlinkClick xmlns:r="http://schemas.openxmlformats.org/officeDocument/2006/relationships" r:id="rId9"/>
                <a:extLst>
                  <a:ext uri="{FF2B5EF4-FFF2-40B4-BE49-F238E27FC236}">
                    <a16:creationId xmlns:a16="http://schemas.microsoft.com/office/drawing/2014/main" id="{00000000-0008-0000-0000-00001D000000}"/>
                  </a:ext>
                </a:extLst>
              </xdr:cNvPr>
              <xdr:cNvSpPr txBox="1"/>
            </xdr:nvSpPr>
            <xdr:spPr>
              <a:xfrm>
                <a:off x="9305925" y="1410925"/>
                <a:ext cx="1343025" cy="3010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400" b="0" baseline="0">
                    <a:solidFill>
                      <a:schemeClr val="bg2">
                        <a:lumMod val="75000"/>
                      </a:schemeClr>
                    </a:solidFill>
                    <a:latin typeface="Arial" panose="020B0604020202020204" pitchFamily="34" charset="0"/>
                    <a:cs typeface="Arial" panose="020B0604020202020204" pitchFamily="34" charset="0"/>
                  </a:rPr>
                  <a:t>Environment</a:t>
                </a:r>
                <a:endParaRPr lang="it-IT" sz="1400" b="0">
                  <a:solidFill>
                    <a:schemeClr val="bg2">
                      <a:lumMod val="75000"/>
                    </a:schemeClr>
                  </a:solidFill>
                  <a:latin typeface="Arial" panose="020B0604020202020204" pitchFamily="34" charset="0"/>
                  <a:cs typeface="Arial" panose="020B0604020202020204" pitchFamily="34" charset="0"/>
                </a:endParaRPr>
              </a:p>
            </xdr:txBody>
          </xdr:sp>
          <xdr:sp macro="" textlink="">
            <xdr:nvSpPr>
              <xdr:cNvPr id="35" name="CasellaDiTesto 34">
                <a:extLst>
                  <a:ext uri="{FF2B5EF4-FFF2-40B4-BE49-F238E27FC236}">
                    <a16:creationId xmlns:a16="http://schemas.microsoft.com/office/drawing/2014/main" id="{00000000-0008-0000-0000-000023000000}"/>
                  </a:ext>
                </a:extLst>
              </xdr:cNvPr>
              <xdr:cNvSpPr txBox="1"/>
            </xdr:nvSpPr>
            <xdr:spPr>
              <a:xfrm>
                <a:off x="9201150" y="1036617"/>
                <a:ext cx="1428750" cy="3010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400" b="1" baseline="0">
                    <a:solidFill>
                      <a:schemeClr val="bg2">
                        <a:lumMod val="75000"/>
                      </a:schemeClr>
                    </a:solidFill>
                    <a:latin typeface="Arial" panose="020B0604020202020204" pitchFamily="34" charset="0"/>
                    <a:cs typeface="Arial" panose="020B0604020202020204" pitchFamily="34" charset="0"/>
                  </a:rPr>
                  <a:t>Non-Financial</a:t>
                </a:r>
                <a:endParaRPr lang="it-IT" sz="1400" b="1">
                  <a:solidFill>
                    <a:schemeClr val="bg2">
                      <a:lumMod val="75000"/>
                    </a:schemeClr>
                  </a:solidFill>
                  <a:latin typeface="Arial" panose="020B0604020202020204" pitchFamily="34" charset="0"/>
                  <a:cs typeface="Arial" panose="020B0604020202020204" pitchFamily="34" charset="0"/>
                </a:endParaRPr>
              </a:p>
            </xdr:txBody>
          </xdr:sp>
          <xdr:cxnSp macro="">
            <xdr:nvCxnSpPr>
              <xdr:cNvPr id="36" name="Connettore diritto 35">
                <a:extLst>
                  <a:ext uri="{FF2B5EF4-FFF2-40B4-BE49-F238E27FC236}">
                    <a16:creationId xmlns:a16="http://schemas.microsoft.com/office/drawing/2014/main" id="{00000000-0008-0000-0000-000024000000}"/>
                  </a:ext>
                </a:extLst>
              </xdr:cNvPr>
              <xdr:cNvCxnSpPr/>
            </xdr:nvCxnSpPr>
            <xdr:spPr>
              <a:xfrm>
                <a:off x="9267825" y="1350884"/>
                <a:ext cx="1188000" cy="0"/>
              </a:xfrm>
              <a:prstGeom prst="line">
                <a:avLst/>
              </a:prstGeom>
              <a:ln w="25400">
                <a:solidFill>
                  <a:schemeClr val="accent4"/>
                </a:solidFill>
              </a:ln>
            </xdr:spPr>
            <xdr:style>
              <a:lnRef idx="1">
                <a:schemeClr val="accent1"/>
              </a:lnRef>
              <a:fillRef idx="0">
                <a:schemeClr val="accent1"/>
              </a:fillRef>
              <a:effectRef idx="0">
                <a:schemeClr val="accent1"/>
              </a:effectRef>
              <a:fontRef idx="minor">
                <a:schemeClr val="tx1"/>
              </a:fontRef>
            </xdr:style>
          </xdr:cxnSp>
          <xdr:sp macro="" textlink="">
            <xdr:nvSpPr>
              <xdr:cNvPr id="37" name="CasellaDiTesto 36">
                <a:hlinkClick xmlns:r="http://schemas.openxmlformats.org/officeDocument/2006/relationships" r:id="rId10"/>
                <a:extLst>
                  <a:ext uri="{FF2B5EF4-FFF2-40B4-BE49-F238E27FC236}">
                    <a16:creationId xmlns:a16="http://schemas.microsoft.com/office/drawing/2014/main" id="{00000000-0008-0000-0000-000025000000}"/>
                  </a:ext>
                </a:extLst>
              </xdr:cNvPr>
              <xdr:cNvSpPr txBox="1"/>
            </xdr:nvSpPr>
            <xdr:spPr>
              <a:xfrm>
                <a:off x="4000500" y="2556294"/>
                <a:ext cx="1133475" cy="537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400" b="0" baseline="0">
                    <a:solidFill>
                      <a:schemeClr val="bg2">
                        <a:lumMod val="75000"/>
                      </a:schemeClr>
                    </a:solidFill>
                    <a:latin typeface="Arial" panose="020B0604020202020204" pitchFamily="34" charset="0"/>
                    <a:cs typeface="Arial" panose="020B0604020202020204" pitchFamily="34" charset="0"/>
                  </a:rPr>
                  <a:t>Results by division</a:t>
                </a:r>
                <a:endParaRPr lang="it-IT" sz="1400" b="0">
                  <a:solidFill>
                    <a:schemeClr val="bg2">
                      <a:lumMod val="75000"/>
                    </a:schemeClr>
                  </a:solidFill>
                  <a:latin typeface="Arial" panose="020B0604020202020204" pitchFamily="34" charset="0"/>
                  <a:cs typeface="Arial" panose="020B0604020202020204" pitchFamily="34" charset="0"/>
                </a:endParaRPr>
              </a:p>
            </xdr:txBody>
          </xdr:sp>
          <xdr:sp macro="" textlink="">
            <xdr:nvSpPr>
              <xdr:cNvPr id="39" name="CasellaDiTesto 38">
                <a:hlinkClick xmlns:r="http://schemas.openxmlformats.org/officeDocument/2006/relationships" r:id="rId11"/>
                <a:extLst>
                  <a:ext uri="{FF2B5EF4-FFF2-40B4-BE49-F238E27FC236}">
                    <a16:creationId xmlns:a16="http://schemas.microsoft.com/office/drawing/2014/main" id="{00000000-0008-0000-0000-000027000000}"/>
                  </a:ext>
                </a:extLst>
              </xdr:cNvPr>
              <xdr:cNvSpPr txBox="1"/>
            </xdr:nvSpPr>
            <xdr:spPr>
              <a:xfrm>
                <a:off x="4000500" y="3360697"/>
                <a:ext cx="1638300" cy="3010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400" b="0" baseline="0">
                    <a:solidFill>
                      <a:schemeClr val="bg2">
                        <a:lumMod val="75000"/>
                      </a:schemeClr>
                    </a:solidFill>
                    <a:latin typeface="Arial" panose="020B0604020202020204" pitchFamily="34" charset="0"/>
                    <a:cs typeface="Arial" panose="020B0604020202020204" pitchFamily="34" charset="0"/>
                  </a:rPr>
                  <a:t>Quarterly data</a:t>
                </a:r>
                <a:endParaRPr lang="it-IT" sz="1400" b="0">
                  <a:solidFill>
                    <a:schemeClr val="bg2">
                      <a:lumMod val="75000"/>
                    </a:schemeClr>
                  </a:solidFill>
                  <a:latin typeface="Arial" panose="020B0604020202020204" pitchFamily="34" charset="0"/>
                  <a:cs typeface="Arial" panose="020B0604020202020204" pitchFamily="34" charset="0"/>
                </a:endParaRPr>
              </a:p>
            </xdr:txBody>
          </xdr:sp>
          <xdr:sp macro="" textlink="">
            <xdr:nvSpPr>
              <xdr:cNvPr id="40" name="CasellaDiTesto 39">
                <a:hlinkClick xmlns:r="http://schemas.openxmlformats.org/officeDocument/2006/relationships" r:id="rId12"/>
                <a:extLst>
                  <a:ext uri="{FF2B5EF4-FFF2-40B4-BE49-F238E27FC236}">
                    <a16:creationId xmlns:a16="http://schemas.microsoft.com/office/drawing/2014/main" id="{00000000-0008-0000-0000-000028000000}"/>
                  </a:ext>
                </a:extLst>
              </xdr:cNvPr>
              <xdr:cNvSpPr txBox="1"/>
            </xdr:nvSpPr>
            <xdr:spPr>
              <a:xfrm>
                <a:off x="7515225" y="1410925"/>
                <a:ext cx="1438275" cy="3010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400" b="0" baseline="0">
                    <a:solidFill>
                      <a:schemeClr val="bg2">
                        <a:lumMod val="75000"/>
                      </a:schemeClr>
                    </a:solidFill>
                    <a:latin typeface="Arial" panose="020B0604020202020204" pitchFamily="34" charset="0"/>
                    <a:cs typeface="Arial" panose="020B0604020202020204" pitchFamily="34" charset="0"/>
                  </a:rPr>
                  <a:t>Summary</a:t>
                </a:r>
              </a:p>
            </xdr:txBody>
          </xdr:sp>
          <xdr:sp macro="" textlink="">
            <xdr:nvSpPr>
              <xdr:cNvPr id="41" name="CasellaDiTesto 40">
                <a:hlinkClick xmlns:r="http://schemas.openxmlformats.org/officeDocument/2006/relationships" r:id="rId13"/>
                <a:extLst>
                  <a:ext uri="{FF2B5EF4-FFF2-40B4-BE49-F238E27FC236}">
                    <a16:creationId xmlns:a16="http://schemas.microsoft.com/office/drawing/2014/main" id="{00000000-0008-0000-0000-000029000000}"/>
                  </a:ext>
                </a:extLst>
              </xdr:cNvPr>
              <xdr:cNvSpPr txBox="1"/>
            </xdr:nvSpPr>
            <xdr:spPr>
              <a:xfrm>
                <a:off x="7515225" y="1704411"/>
                <a:ext cx="1438275" cy="3010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400" b="0" baseline="0">
                    <a:solidFill>
                      <a:schemeClr val="bg2">
                        <a:lumMod val="75000"/>
                      </a:schemeClr>
                    </a:solidFill>
                    <a:latin typeface="Arial" panose="020B0604020202020204" pitchFamily="34" charset="0"/>
                    <a:cs typeface="Arial" panose="020B0604020202020204" pitchFamily="34" charset="0"/>
                  </a:rPr>
                  <a:t>Thermoelectric</a:t>
                </a:r>
              </a:p>
            </xdr:txBody>
          </xdr:sp>
          <xdr:sp macro="" textlink="">
            <xdr:nvSpPr>
              <xdr:cNvPr id="42" name="CasellaDiTesto 41">
                <a:hlinkClick xmlns:r="http://schemas.openxmlformats.org/officeDocument/2006/relationships" r:id="rId14"/>
                <a:extLst>
                  <a:ext uri="{FF2B5EF4-FFF2-40B4-BE49-F238E27FC236}">
                    <a16:creationId xmlns:a16="http://schemas.microsoft.com/office/drawing/2014/main" id="{00000000-0008-0000-0000-00002A000000}"/>
                  </a:ext>
                </a:extLst>
              </xdr:cNvPr>
              <xdr:cNvSpPr txBox="1"/>
            </xdr:nvSpPr>
            <xdr:spPr>
              <a:xfrm>
                <a:off x="7515225" y="1988372"/>
                <a:ext cx="1343025" cy="3010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400" b="0" baseline="0">
                    <a:solidFill>
                      <a:schemeClr val="bg2">
                        <a:lumMod val="75000"/>
                      </a:schemeClr>
                    </a:solidFill>
                    <a:latin typeface="Arial" panose="020B0604020202020204" pitchFamily="34" charset="0"/>
                    <a:cs typeface="Arial" panose="020B0604020202020204" pitchFamily="34" charset="0"/>
                  </a:rPr>
                  <a:t>Hydroelectric</a:t>
                </a:r>
              </a:p>
            </xdr:txBody>
          </xdr:sp>
          <xdr:sp macro="" textlink="">
            <xdr:nvSpPr>
              <xdr:cNvPr id="43" name="CasellaDiTesto 42">
                <a:hlinkClick xmlns:r="http://schemas.openxmlformats.org/officeDocument/2006/relationships" r:id="rId15"/>
                <a:extLst>
                  <a:ext uri="{FF2B5EF4-FFF2-40B4-BE49-F238E27FC236}">
                    <a16:creationId xmlns:a16="http://schemas.microsoft.com/office/drawing/2014/main" id="{00000000-0008-0000-0000-00002B000000}"/>
                  </a:ext>
                </a:extLst>
              </xdr:cNvPr>
              <xdr:cNvSpPr txBox="1"/>
            </xdr:nvSpPr>
            <xdr:spPr>
              <a:xfrm>
                <a:off x="7515225" y="2272333"/>
                <a:ext cx="1562100" cy="3010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400" b="0" baseline="0">
                    <a:solidFill>
                      <a:schemeClr val="bg2">
                        <a:lumMod val="75000"/>
                      </a:schemeClr>
                    </a:solidFill>
                    <a:latin typeface="Arial" panose="020B0604020202020204" pitchFamily="34" charset="0"/>
                    <a:cs typeface="Arial" panose="020B0604020202020204" pitchFamily="34" charset="0"/>
                  </a:rPr>
                  <a:t>Renewables</a:t>
                </a:r>
              </a:p>
            </xdr:txBody>
          </xdr:sp>
          <xdr:sp macro="" textlink="">
            <xdr:nvSpPr>
              <xdr:cNvPr id="44" name="CasellaDiTesto 43">
                <a:extLst>
                  <a:ext uri="{FF2B5EF4-FFF2-40B4-BE49-F238E27FC236}">
                    <a16:creationId xmlns:a16="http://schemas.microsoft.com/office/drawing/2014/main" id="{00000000-0008-0000-0000-00002C000000}"/>
                  </a:ext>
                </a:extLst>
              </xdr:cNvPr>
              <xdr:cNvSpPr txBox="1"/>
            </xdr:nvSpPr>
            <xdr:spPr>
              <a:xfrm>
                <a:off x="7717632" y="1036617"/>
                <a:ext cx="721518" cy="3010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400" b="1" baseline="0">
                    <a:solidFill>
                      <a:schemeClr val="bg2">
                        <a:lumMod val="75000"/>
                      </a:schemeClr>
                    </a:solidFill>
                    <a:latin typeface="Arial" panose="020B0604020202020204" pitchFamily="34" charset="0"/>
                    <a:cs typeface="Arial" panose="020B0604020202020204" pitchFamily="34" charset="0"/>
                  </a:rPr>
                  <a:t>Plants</a:t>
                </a:r>
                <a:endParaRPr lang="it-IT" sz="1400" b="1">
                  <a:solidFill>
                    <a:schemeClr val="bg2">
                      <a:lumMod val="75000"/>
                    </a:schemeClr>
                  </a:solidFill>
                  <a:latin typeface="Arial" panose="020B0604020202020204" pitchFamily="34" charset="0"/>
                  <a:cs typeface="Arial" panose="020B0604020202020204" pitchFamily="34" charset="0"/>
                </a:endParaRPr>
              </a:p>
            </xdr:txBody>
          </xdr:sp>
          <xdr:cxnSp macro="">
            <xdr:nvCxnSpPr>
              <xdr:cNvPr id="45" name="Connettore diritto 44">
                <a:extLst>
                  <a:ext uri="{FF2B5EF4-FFF2-40B4-BE49-F238E27FC236}">
                    <a16:creationId xmlns:a16="http://schemas.microsoft.com/office/drawing/2014/main" id="{00000000-0008-0000-0000-00002D000000}"/>
                  </a:ext>
                </a:extLst>
              </xdr:cNvPr>
              <xdr:cNvCxnSpPr/>
            </xdr:nvCxnSpPr>
            <xdr:spPr>
              <a:xfrm>
                <a:off x="7507605" y="1350884"/>
                <a:ext cx="1188000" cy="0"/>
              </a:xfrm>
              <a:prstGeom prst="line">
                <a:avLst/>
              </a:prstGeom>
              <a:ln w="25400">
                <a:solidFill>
                  <a:schemeClr val="accent5"/>
                </a:solidFill>
              </a:ln>
            </xdr:spPr>
            <xdr:style>
              <a:lnRef idx="1">
                <a:schemeClr val="accent1"/>
              </a:lnRef>
              <a:fillRef idx="0">
                <a:schemeClr val="accent1"/>
              </a:fillRef>
              <a:effectRef idx="0">
                <a:schemeClr val="accent1"/>
              </a:effectRef>
              <a:fontRef idx="minor">
                <a:schemeClr val="tx1"/>
              </a:fontRef>
            </xdr:style>
          </xdr:cxnSp>
          <xdr:cxnSp macro="">
            <xdr:nvCxnSpPr>
              <xdr:cNvPr id="49" name="Connettore diritto 48">
                <a:extLst>
                  <a:ext uri="{FF2B5EF4-FFF2-40B4-BE49-F238E27FC236}">
                    <a16:creationId xmlns:a16="http://schemas.microsoft.com/office/drawing/2014/main" id="{00000000-0008-0000-0000-000031000000}"/>
                  </a:ext>
                </a:extLst>
              </xdr:cNvPr>
              <xdr:cNvCxnSpPr/>
            </xdr:nvCxnSpPr>
            <xdr:spPr>
              <a:xfrm rot="5400000">
                <a:off x="6763073" y="2099596"/>
                <a:ext cx="1512000" cy="0"/>
              </a:xfrm>
              <a:prstGeom prst="line">
                <a:avLst/>
              </a:prstGeom>
              <a:ln w="25400">
                <a:solidFill>
                  <a:schemeClr val="accent5"/>
                </a:solidFill>
              </a:ln>
            </xdr:spPr>
            <xdr:style>
              <a:lnRef idx="1">
                <a:schemeClr val="accent1"/>
              </a:lnRef>
              <a:fillRef idx="0">
                <a:schemeClr val="accent1"/>
              </a:fillRef>
              <a:effectRef idx="0">
                <a:schemeClr val="accent1"/>
              </a:effectRef>
              <a:fontRef idx="minor">
                <a:schemeClr val="tx1"/>
              </a:fontRef>
            </xdr:style>
          </xdr:cxnSp>
          <xdr:cxnSp macro="">
            <xdr:nvCxnSpPr>
              <xdr:cNvPr id="50" name="Connettore diritto 49">
                <a:extLst>
                  <a:ext uri="{FF2B5EF4-FFF2-40B4-BE49-F238E27FC236}">
                    <a16:creationId xmlns:a16="http://schemas.microsoft.com/office/drawing/2014/main" id="{00000000-0008-0000-0000-000032000000}"/>
                  </a:ext>
                </a:extLst>
              </xdr:cNvPr>
              <xdr:cNvCxnSpPr/>
            </xdr:nvCxnSpPr>
            <xdr:spPr>
              <a:xfrm rot="5400000">
                <a:off x="260023" y="1559597"/>
                <a:ext cx="432000" cy="0"/>
              </a:xfrm>
              <a:prstGeom prst="line">
                <a:avLst/>
              </a:prstGeom>
              <a:ln w="25400">
                <a:solidFill>
                  <a:schemeClr val="accent2"/>
                </a:solidFill>
              </a:ln>
            </xdr:spPr>
            <xdr:style>
              <a:lnRef idx="1">
                <a:schemeClr val="accent1"/>
              </a:lnRef>
              <a:fillRef idx="0">
                <a:schemeClr val="accent1"/>
              </a:fillRef>
              <a:effectRef idx="0">
                <a:schemeClr val="accent1"/>
              </a:effectRef>
              <a:fontRef idx="minor">
                <a:schemeClr val="tx1"/>
              </a:fontRef>
            </xdr:style>
          </xdr:cxnSp>
          <xdr:cxnSp macro="">
            <xdr:nvCxnSpPr>
              <xdr:cNvPr id="51" name="Connettore diritto 50">
                <a:extLst>
                  <a:ext uri="{FF2B5EF4-FFF2-40B4-BE49-F238E27FC236}">
                    <a16:creationId xmlns:a16="http://schemas.microsoft.com/office/drawing/2014/main" id="{00000000-0008-0000-0000-000033000000}"/>
                  </a:ext>
                </a:extLst>
              </xdr:cNvPr>
              <xdr:cNvCxnSpPr/>
            </xdr:nvCxnSpPr>
            <xdr:spPr>
              <a:xfrm rot="5400000">
                <a:off x="2847272" y="2495596"/>
                <a:ext cx="2304000" cy="0"/>
              </a:xfrm>
              <a:prstGeom prst="line">
                <a:avLst/>
              </a:prstGeom>
              <a:ln w="25400">
                <a:solidFill>
                  <a:schemeClr val="tx2"/>
                </a:solidFill>
              </a:ln>
            </xdr:spPr>
            <xdr:style>
              <a:lnRef idx="1">
                <a:schemeClr val="accent1"/>
              </a:lnRef>
              <a:fillRef idx="0">
                <a:schemeClr val="accent1"/>
              </a:fillRef>
              <a:effectRef idx="0">
                <a:schemeClr val="accent1"/>
              </a:effectRef>
              <a:fontRef idx="minor">
                <a:schemeClr val="tx1"/>
              </a:fontRef>
            </xdr:style>
          </xdr:cxnSp>
          <xdr:cxnSp macro="">
            <xdr:nvCxnSpPr>
              <xdr:cNvPr id="53" name="Connettore diritto 52">
                <a:extLst>
                  <a:ext uri="{FF2B5EF4-FFF2-40B4-BE49-F238E27FC236}">
                    <a16:creationId xmlns:a16="http://schemas.microsoft.com/office/drawing/2014/main" id="{00000000-0008-0000-0000-000035000000}"/>
                  </a:ext>
                </a:extLst>
              </xdr:cNvPr>
              <xdr:cNvCxnSpPr/>
            </xdr:nvCxnSpPr>
            <xdr:spPr>
              <a:xfrm rot="5400000">
                <a:off x="8955963" y="1667597"/>
                <a:ext cx="648000" cy="0"/>
              </a:xfrm>
              <a:prstGeom prst="line">
                <a:avLst/>
              </a:prstGeom>
              <a:ln w="25400">
                <a:solidFill>
                  <a:schemeClr val="accent4"/>
                </a:solidFill>
              </a:ln>
            </xdr:spPr>
            <xdr:style>
              <a:lnRef idx="1">
                <a:schemeClr val="accent1"/>
              </a:lnRef>
              <a:fillRef idx="0">
                <a:schemeClr val="accent1"/>
              </a:fillRef>
              <a:effectRef idx="0">
                <a:schemeClr val="accent1"/>
              </a:effectRef>
              <a:fontRef idx="minor">
                <a:schemeClr val="tx1"/>
              </a:fontRef>
            </xdr:style>
          </xdr:cxnSp>
          <xdr:sp macro="" textlink="">
            <xdr:nvSpPr>
              <xdr:cNvPr id="57" name="CasellaDiTesto 56">
                <a:extLst>
                  <a:ext uri="{FF2B5EF4-FFF2-40B4-BE49-F238E27FC236}">
                    <a16:creationId xmlns:a16="http://schemas.microsoft.com/office/drawing/2014/main" id="{00000000-0008-0000-0000-000039000000}"/>
                  </a:ext>
                </a:extLst>
              </xdr:cNvPr>
              <xdr:cNvSpPr txBox="1"/>
            </xdr:nvSpPr>
            <xdr:spPr>
              <a:xfrm>
                <a:off x="114300" y="4229100"/>
                <a:ext cx="10448925" cy="1514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100" b="1">
                    <a:solidFill>
                      <a:schemeClr val="bg2">
                        <a:lumMod val="75000"/>
                      </a:schemeClr>
                    </a:solidFill>
                    <a:latin typeface="Arial" panose="020B0604020202020204" pitchFamily="34" charset="0"/>
                    <a:cs typeface="Arial" panose="020B0604020202020204" pitchFamily="34" charset="0"/>
                  </a:rPr>
                  <a:t>Disclaimer</a:t>
                </a:r>
              </a:p>
              <a:p>
                <a:endParaRPr lang="it-IT" sz="1000" b="1">
                  <a:solidFill>
                    <a:schemeClr val="bg2">
                      <a:lumMod val="75000"/>
                    </a:schemeClr>
                  </a:solidFill>
                  <a:latin typeface="Arial" panose="020B0604020202020204" pitchFamily="34" charset="0"/>
                  <a:cs typeface="Arial" panose="020B0604020202020204" pitchFamily="34" charset="0"/>
                </a:endParaRPr>
              </a:p>
              <a:p>
                <a:r>
                  <a:rPr lang="it-IT" sz="900" b="0">
                    <a:solidFill>
                      <a:schemeClr val="bg2">
                        <a:lumMod val="75000"/>
                      </a:schemeClr>
                    </a:solidFill>
                    <a:latin typeface="Arial" panose="020B0604020202020204" pitchFamily="34" charset="0"/>
                    <a:cs typeface="Arial" panose="020B0604020202020204" pitchFamily="34" charset="0"/>
                  </a:rPr>
                  <a:t>The main aim of this document</a:t>
                </a:r>
                <a:r>
                  <a:rPr lang="it-IT" sz="900" b="0" baseline="0">
                    <a:solidFill>
                      <a:schemeClr val="bg2">
                        <a:lumMod val="75000"/>
                      </a:schemeClr>
                    </a:solidFill>
                    <a:latin typeface="Arial" panose="020B0604020202020204" pitchFamily="34" charset="0"/>
                    <a:cs typeface="Arial" panose="020B0604020202020204" pitchFamily="34" charset="0"/>
                  </a:rPr>
                  <a:t> is to offer Edison's main published data in an analyst-friendly manner. For more detailed information regarding the included figures please refer to the Edison reports (easily reachable clicking on the button below). All data contained in this document is not audited. </a:t>
                </a:r>
                <a:r>
                  <a:rPr lang="it-IT" sz="900" b="0">
                    <a:solidFill>
                      <a:schemeClr val="bg2">
                        <a:lumMod val="75000"/>
                      </a:schemeClr>
                    </a:solidFill>
                    <a:latin typeface="Arial" panose="020B0604020202020204" pitchFamily="34" charset="0"/>
                    <a:cs typeface="Arial" panose="020B0604020202020204" pitchFamily="34" charset="0"/>
                  </a:rPr>
                  <a:t>No reliance should be placed on the accuracy, completeness or correctness of the information or </a:t>
                </a:r>
                <a:r>
                  <a:rPr lang="it-IT" sz="900" b="0">
                    <a:solidFill>
                      <a:schemeClr val="bg2">
                        <a:lumMod val="75000"/>
                      </a:schemeClr>
                    </a:solidFill>
                    <a:latin typeface="Arial" panose="020B0604020202020204" pitchFamily="34" charset="0"/>
                    <a:ea typeface="+mn-ea"/>
                    <a:cs typeface="Arial" panose="020B0604020202020204" pitchFamily="34" charset="0"/>
                  </a:rPr>
                  <a:t>opinions </a:t>
                </a:r>
                <a:r>
                  <a:rPr lang="it-IT" sz="900" b="0">
                    <a:solidFill>
                      <a:schemeClr val="bg2">
                        <a:lumMod val="75000"/>
                      </a:schemeClr>
                    </a:solidFill>
                    <a:latin typeface="Arial" panose="020B0604020202020204" pitchFamily="34" charset="0"/>
                    <a:cs typeface="Arial" panose="020B0604020202020204" pitchFamily="34" charset="0"/>
                  </a:rPr>
                  <a:t>contained in this presentation. No</a:t>
                </a:r>
                <a:r>
                  <a:rPr lang="it-IT" sz="900" b="0" baseline="0">
                    <a:solidFill>
                      <a:schemeClr val="bg2">
                        <a:lumMod val="75000"/>
                      </a:schemeClr>
                    </a:solidFill>
                    <a:latin typeface="Arial" panose="020B0604020202020204" pitchFamily="34" charset="0"/>
                    <a:cs typeface="Arial" panose="020B0604020202020204" pitchFamily="34" charset="0"/>
                  </a:rPr>
                  <a:t> Edison representative shall be liable </a:t>
                </a:r>
                <a:r>
                  <a:rPr lang="it-IT" sz="900" b="0">
                    <a:solidFill>
                      <a:schemeClr val="bg2">
                        <a:lumMod val="75000"/>
                      </a:schemeClr>
                    </a:solidFill>
                    <a:latin typeface="Arial" panose="020B0604020202020204" pitchFamily="34" charset="0"/>
                    <a:cs typeface="Arial" panose="020B0604020202020204" pitchFamily="34" charset="0"/>
                  </a:rPr>
                  <a:t>for any loss arising from any use of this presentation or its contents.</a:t>
                </a:r>
              </a:p>
              <a:p>
                <a:r>
                  <a:rPr lang="it-IT" sz="900" b="0">
                    <a:solidFill>
                      <a:schemeClr val="bg2">
                        <a:lumMod val="75000"/>
                      </a:schemeClr>
                    </a:solidFill>
                    <a:latin typeface="Arial" panose="020B0604020202020204" pitchFamily="34" charset="0"/>
                    <a:cs typeface="Arial" panose="020B0604020202020204" pitchFamily="34" charset="0"/>
                  </a:rPr>
                  <a:t>Some</a:t>
                </a:r>
                <a:r>
                  <a:rPr lang="it-IT" sz="900" b="0" baseline="0">
                    <a:solidFill>
                      <a:schemeClr val="bg2">
                        <a:lumMod val="75000"/>
                      </a:schemeClr>
                    </a:solidFill>
                    <a:latin typeface="Arial" panose="020B0604020202020204" pitchFamily="34" charset="0"/>
                    <a:cs typeface="Arial" panose="020B0604020202020204" pitchFamily="34" charset="0"/>
                  </a:rPr>
                  <a:t> tables are shown under an updated format, different from those of previous Databook versions. In those cases, data for previous years has only been offered when inferable from Edison reports.</a:t>
                </a:r>
              </a:p>
              <a:p>
                <a:endParaRPr lang="it-IT" sz="1000" b="1" baseline="0">
                  <a:solidFill>
                    <a:schemeClr val="bg2">
                      <a:lumMod val="75000"/>
                    </a:schemeClr>
                  </a:solidFill>
                  <a:latin typeface="Arial" panose="020B0604020202020204" pitchFamily="34" charset="0"/>
                  <a:cs typeface="Arial" panose="020B0604020202020204" pitchFamily="34" charset="0"/>
                </a:endParaRPr>
              </a:p>
              <a:p>
                <a:r>
                  <a:rPr lang="it-IT" sz="1100" b="1">
                    <a:solidFill>
                      <a:schemeClr val="bg2">
                        <a:lumMod val="75000"/>
                      </a:schemeClr>
                    </a:solidFill>
                    <a:latin typeface="Arial" panose="020B0604020202020204" pitchFamily="34" charset="0"/>
                    <a:ea typeface="+mn-ea"/>
                    <a:cs typeface="Arial" panose="020B0604020202020204" pitchFamily="34" charset="0"/>
                  </a:rPr>
                  <a:t>Investor Relations</a:t>
                </a:r>
                <a:r>
                  <a:rPr lang="it-IT" sz="1100" b="1" baseline="0">
                    <a:solidFill>
                      <a:schemeClr val="bg2">
                        <a:lumMod val="75000"/>
                      </a:schemeClr>
                    </a:solidFill>
                    <a:latin typeface="Arial" panose="020B0604020202020204" pitchFamily="34" charset="0"/>
                    <a:ea typeface="+mn-ea"/>
                    <a:cs typeface="Arial" panose="020B0604020202020204" pitchFamily="34" charset="0"/>
                  </a:rPr>
                  <a:t> Department:</a:t>
                </a:r>
                <a:endParaRPr lang="it-IT" sz="1100" b="1">
                  <a:solidFill>
                    <a:schemeClr val="bg2">
                      <a:lumMod val="75000"/>
                    </a:schemeClr>
                  </a:solidFill>
                  <a:latin typeface="Arial" panose="020B0604020202020204" pitchFamily="34" charset="0"/>
                  <a:ea typeface="+mn-ea"/>
                  <a:cs typeface="Arial" panose="020B0604020202020204" pitchFamily="34" charset="0"/>
                </a:endParaRPr>
              </a:p>
            </xdr:txBody>
          </xdr:sp>
          <xdr:pic>
            <xdr:nvPicPr>
              <xdr:cNvPr id="63" name="Elemento grafico 62" descr="Mondo">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 uri="{96DAC541-7B7A-43D3-8B79-37D633B846F1}">
                    <asvg:svgBlip xmlns:asvg="http://schemas.microsoft.com/office/drawing/2016/SVG/main" r:embed="rId17"/>
                  </a:ext>
                </a:extLst>
              </a:blip>
              <a:stretch>
                <a:fillRect/>
              </a:stretch>
            </xdr:blipFill>
            <xdr:spPr>
              <a:xfrm>
                <a:off x="200025" y="6010275"/>
                <a:ext cx="252000" cy="252000"/>
              </a:xfrm>
              <a:prstGeom prst="rect">
                <a:avLst/>
              </a:prstGeom>
            </xdr:spPr>
          </xdr:pic>
          <xdr:pic>
            <xdr:nvPicPr>
              <xdr:cNvPr id="65" name="Elemento grafico 64" descr="Busta">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 uri="{96DAC541-7B7A-43D3-8B79-37D633B846F1}">
                    <asvg:svgBlip xmlns:asvg="http://schemas.microsoft.com/office/drawing/2016/SVG/main" r:embed="rId19"/>
                  </a:ext>
                </a:extLst>
              </a:blip>
              <a:stretch>
                <a:fillRect/>
              </a:stretch>
            </xdr:blipFill>
            <xdr:spPr>
              <a:xfrm>
                <a:off x="207151" y="5736638"/>
                <a:ext cx="252000" cy="252000"/>
              </a:xfrm>
              <a:prstGeom prst="rect">
                <a:avLst/>
              </a:prstGeom>
            </xdr:spPr>
          </xdr:pic>
          <xdr:pic>
            <xdr:nvPicPr>
              <xdr:cNvPr id="67" name="Elemento grafico 66" descr="Telefono">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 uri="{96DAC541-7B7A-43D3-8B79-37D633B846F1}">
                    <asvg:svgBlip xmlns:asvg="http://schemas.microsoft.com/office/drawing/2016/SVG/main" r:embed="rId21"/>
                  </a:ext>
                </a:extLst>
              </a:blip>
              <a:stretch>
                <a:fillRect/>
              </a:stretch>
            </xdr:blipFill>
            <xdr:spPr>
              <a:xfrm>
                <a:off x="204751" y="5462551"/>
                <a:ext cx="252449" cy="252449"/>
              </a:xfrm>
              <a:prstGeom prst="rect">
                <a:avLst/>
              </a:prstGeom>
            </xdr:spPr>
          </xdr:pic>
          <xdr:sp macro="" textlink="">
            <xdr:nvSpPr>
              <xdr:cNvPr id="69" name="CasellaDiTesto 68">
                <a:hlinkClick xmlns:r="http://schemas.openxmlformats.org/officeDocument/2006/relationships" r:id="rId22"/>
                <a:extLst>
                  <a:ext uri="{FF2B5EF4-FFF2-40B4-BE49-F238E27FC236}">
                    <a16:creationId xmlns:a16="http://schemas.microsoft.com/office/drawing/2014/main" id="{00000000-0008-0000-0000-000045000000}"/>
                  </a:ext>
                </a:extLst>
              </xdr:cNvPr>
              <xdr:cNvSpPr txBox="1"/>
            </xdr:nvSpPr>
            <xdr:spPr>
              <a:xfrm>
                <a:off x="457199" y="5734049"/>
                <a:ext cx="1895476"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050">
                    <a:solidFill>
                      <a:schemeClr val="tx2"/>
                    </a:solidFill>
                    <a:latin typeface="Arial" panose="020B0604020202020204" pitchFamily="34" charset="0"/>
                    <a:cs typeface="Arial" panose="020B0604020202020204" pitchFamily="34" charset="0"/>
                  </a:rPr>
                  <a:t>investor.relations@edison.it</a:t>
                </a:r>
              </a:p>
            </xdr:txBody>
          </xdr:sp>
          <xdr:sp macro="" textlink="">
            <xdr:nvSpPr>
              <xdr:cNvPr id="70" name="CasellaDiTesto 69">
                <a:extLst>
                  <a:ext uri="{FF2B5EF4-FFF2-40B4-BE49-F238E27FC236}">
                    <a16:creationId xmlns:a16="http://schemas.microsoft.com/office/drawing/2014/main" id="{00000000-0008-0000-0000-000046000000}"/>
                  </a:ext>
                </a:extLst>
              </xdr:cNvPr>
              <xdr:cNvSpPr txBox="1"/>
            </xdr:nvSpPr>
            <xdr:spPr>
              <a:xfrm>
                <a:off x="457199" y="5457824"/>
                <a:ext cx="1333501"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050">
                    <a:solidFill>
                      <a:schemeClr val="tx2"/>
                    </a:solidFill>
                    <a:latin typeface="Arial" panose="020B0604020202020204" pitchFamily="34" charset="0"/>
                    <a:cs typeface="Arial" panose="020B0604020202020204" pitchFamily="34" charset="0"/>
                  </a:rPr>
                  <a:t>+39 0262227889</a:t>
                </a:r>
              </a:p>
            </xdr:txBody>
          </xdr:sp>
          <xdr:sp macro="" textlink="">
            <xdr:nvSpPr>
              <xdr:cNvPr id="71" name="CasellaDiTesto 70">
                <a:hlinkClick xmlns:r="http://schemas.openxmlformats.org/officeDocument/2006/relationships" r:id="rId23"/>
                <a:extLst>
                  <a:ext uri="{FF2B5EF4-FFF2-40B4-BE49-F238E27FC236}">
                    <a16:creationId xmlns:a16="http://schemas.microsoft.com/office/drawing/2014/main" id="{00000000-0008-0000-0000-000047000000}"/>
                  </a:ext>
                </a:extLst>
              </xdr:cNvPr>
              <xdr:cNvSpPr txBox="1"/>
            </xdr:nvSpPr>
            <xdr:spPr>
              <a:xfrm>
                <a:off x="457199" y="6010274"/>
                <a:ext cx="1895476"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050">
                    <a:solidFill>
                      <a:schemeClr val="tx2"/>
                    </a:solidFill>
                    <a:latin typeface="Arial" panose="020B0604020202020204" pitchFamily="34" charset="0"/>
                    <a:cs typeface="Arial" panose="020B0604020202020204" pitchFamily="34" charset="0"/>
                  </a:rPr>
                  <a:t>IR Website</a:t>
                </a:r>
              </a:p>
            </xdr:txBody>
          </xdr:sp>
          <xdr:sp macro="" textlink="">
            <xdr:nvSpPr>
              <xdr:cNvPr id="58" name="CasellaDiTesto 57">
                <a:hlinkClick xmlns:r="http://schemas.openxmlformats.org/officeDocument/2006/relationships" r:id="rId24"/>
                <a:extLst>
                  <a:ext uri="{FF2B5EF4-FFF2-40B4-BE49-F238E27FC236}">
                    <a16:creationId xmlns:a16="http://schemas.microsoft.com/office/drawing/2014/main" id="{00000000-0008-0000-0000-00003A000000}"/>
                  </a:ext>
                </a:extLst>
              </xdr:cNvPr>
              <xdr:cNvSpPr txBox="1"/>
            </xdr:nvSpPr>
            <xdr:spPr>
              <a:xfrm>
                <a:off x="7515225" y="2556294"/>
                <a:ext cx="1562100" cy="3010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400" b="0" baseline="0">
                    <a:solidFill>
                      <a:schemeClr val="bg2">
                        <a:lumMod val="75000"/>
                      </a:schemeClr>
                    </a:solidFill>
                    <a:latin typeface="Arial" panose="020B0604020202020204" pitchFamily="34" charset="0"/>
                    <a:cs typeface="Arial" panose="020B0604020202020204" pitchFamily="34" charset="0"/>
                  </a:rPr>
                  <a:t>Energy Efficiency</a:t>
                </a:r>
              </a:p>
            </xdr:txBody>
          </xdr:sp>
          <xdr:sp macro="" textlink="">
            <xdr:nvSpPr>
              <xdr:cNvPr id="54" name="CasellaDiTesto 53">
                <a:extLst>
                  <a:ext uri="{FF2B5EF4-FFF2-40B4-BE49-F238E27FC236}">
                    <a16:creationId xmlns:a16="http://schemas.microsoft.com/office/drawing/2014/main" id="{00000000-0008-0000-0000-000036000000}"/>
                  </a:ext>
                </a:extLst>
              </xdr:cNvPr>
              <xdr:cNvSpPr txBox="1"/>
            </xdr:nvSpPr>
            <xdr:spPr>
              <a:xfrm>
                <a:off x="5769769" y="1036617"/>
                <a:ext cx="1107281" cy="3010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400" b="1" baseline="0">
                    <a:solidFill>
                      <a:schemeClr val="bg2">
                        <a:lumMod val="75000"/>
                      </a:schemeClr>
                    </a:solidFill>
                    <a:latin typeface="Arial" panose="020B0604020202020204" pitchFamily="34" charset="0"/>
                    <a:cs typeface="Arial" panose="020B0604020202020204" pitchFamily="34" charset="0"/>
                  </a:rPr>
                  <a:t>Separated</a:t>
                </a:r>
                <a:endParaRPr lang="it-IT" sz="1400" b="1">
                  <a:solidFill>
                    <a:schemeClr val="bg2">
                      <a:lumMod val="75000"/>
                    </a:schemeClr>
                  </a:solidFill>
                  <a:latin typeface="Arial" panose="020B0604020202020204" pitchFamily="34" charset="0"/>
                  <a:cs typeface="Arial" panose="020B0604020202020204" pitchFamily="34" charset="0"/>
                </a:endParaRPr>
              </a:p>
            </xdr:txBody>
          </xdr:sp>
          <xdr:cxnSp macro="">
            <xdr:nvCxnSpPr>
              <xdr:cNvPr id="56" name="Connettore diritto 55">
                <a:extLst>
                  <a:ext uri="{FF2B5EF4-FFF2-40B4-BE49-F238E27FC236}">
                    <a16:creationId xmlns:a16="http://schemas.microsoft.com/office/drawing/2014/main" id="{00000000-0008-0000-0000-000038000000}"/>
                  </a:ext>
                </a:extLst>
              </xdr:cNvPr>
              <xdr:cNvCxnSpPr/>
            </xdr:nvCxnSpPr>
            <xdr:spPr>
              <a:xfrm>
                <a:off x="5747385" y="1350884"/>
                <a:ext cx="1188000" cy="0"/>
              </a:xfrm>
              <a:prstGeom prst="line">
                <a:avLst/>
              </a:prstGeom>
              <a:ln w="25400">
                <a:solidFill>
                  <a:schemeClr val="accent6"/>
                </a:solidFill>
              </a:ln>
            </xdr:spPr>
            <xdr:style>
              <a:lnRef idx="1">
                <a:schemeClr val="accent1"/>
              </a:lnRef>
              <a:fillRef idx="0">
                <a:schemeClr val="accent1"/>
              </a:fillRef>
              <a:effectRef idx="0">
                <a:schemeClr val="accent1"/>
              </a:effectRef>
              <a:fontRef idx="minor">
                <a:schemeClr val="tx1"/>
              </a:fontRef>
            </xdr:style>
          </xdr:cxnSp>
          <xdr:sp macro="" textlink="">
            <xdr:nvSpPr>
              <xdr:cNvPr id="62" name="CasellaDiTesto 61">
                <a:hlinkClick xmlns:r="http://schemas.openxmlformats.org/officeDocument/2006/relationships" r:id="rId25"/>
                <a:extLst>
                  <a:ext uri="{FF2B5EF4-FFF2-40B4-BE49-F238E27FC236}">
                    <a16:creationId xmlns:a16="http://schemas.microsoft.com/office/drawing/2014/main" id="{00000000-0008-0000-0000-00003E000000}"/>
                  </a:ext>
                </a:extLst>
              </xdr:cNvPr>
              <xdr:cNvSpPr txBox="1"/>
            </xdr:nvSpPr>
            <xdr:spPr>
              <a:xfrm>
                <a:off x="5800725" y="1410925"/>
                <a:ext cx="1343025" cy="3010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400" b="0" baseline="0">
                    <a:solidFill>
                      <a:schemeClr val="bg2">
                        <a:lumMod val="75000"/>
                      </a:schemeClr>
                    </a:solidFill>
                    <a:latin typeface="Arial" panose="020B0604020202020204" pitchFamily="34" charset="0"/>
                    <a:cs typeface="Arial" panose="020B0604020202020204" pitchFamily="34" charset="0"/>
                  </a:rPr>
                  <a:t>Profit &amp; Loss</a:t>
                </a:r>
                <a:endParaRPr lang="it-IT" sz="1400" b="0">
                  <a:solidFill>
                    <a:schemeClr val="bg2">
                      <a:lumMod val="75000"/>
                    </a:schemeClr>
                  </a:solidFill>
                  <a:latin typeface="Arial" panose="020B0604020202020204" pitchFamily="34" charset="0"/>
                  <a:cs typeface="Arial" panose="020B0604020202020204" pitchFamily="34" charset="0"/>
                </a:endParaRPr>
              </a:p>
            </xdr:txBody>
          </xdr:sp>
          <xdr:sp macro="" textlink="">
            <xdr:nvSpPr>
              <xdr:cNvPr id="64" name="CasellaDiTesto 63">
                <a:hlinkClick xmlns:r="http://schemas.openxmlformats.org/officeDocument/2006/relationships" r:id="rId26"/>
                <a:extLst>
                  <a:ext uri="{FF2B5EF4-FFF2-40B4-BE49-F238E27FC236}">
                    <a16:creationId xmlns:a16="http://schemas.microsoft.com/office/drawing/2014/main" id="{00000000-0008-0000-0000-000040000000}"/>
                  </a:ext>
                </a:extLst>
              </xdr:cNvPr>
              <xdr:cNvSpPr txBox="1"/>
            </xdr:nvSpPr>
            <xdr:spPr>
              <a:xfrm>
                <a:off x="5800725" y="1704411"/>
                <a:ext cx="1343025" cy="3010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400" b="0" baseline="0">
                    <a:solidFill>
                      <a:schemeClr val="bg2">
                        <a:lumMod val="75000"/>
                      </a:schemeClr>
                    </a:solidFill>
                    <a:latin typeface="Arial" panose="020B0604020202020204" pitchFamily="34" charset="0"/>
                    <a:cs typeface="Arial" panose="020B0604020202020204" pitchFamily="34" charset="0"/>
                  </a:rPr>
                  <a:t>Balance Sheet</a:t>
                </a:r>
                <a:endParaRPr lang="it-IT" sz="1400" b="0">
                  <a:solidFill>
                    <a:schemeClr val="bg2">
                      <a:lumMod val="75000"/>
                    </a:schemeClr>
                  </a:solidFill>
                  <a:latin typeface="Arial" panose="020B0604020202020204" pitchFamily="34" charset="0"/>
                  <a:cs typeface="Arial" panose="020B0604020202020204" pitchFamily="34" charset="0"/>
                </a:endParaRPr>
              </a:p>
            </xdr:txBody>
          </xdr:sp>
          <xdr:sp macro="" textlink="">
            <xdr:nvSpPr>
              <xdr:cNvPr id="68" name="CasellaDiTesto 67">
                <a:hlinkClick xmlns:r="http://schemas.openxmlformats.org/officeDocument/2006/relationships" r:id="rId27"/>
                <a:extLst>
                  <a:ext uri="{FF2B5EF4-FFF2-40B4-BE49-F238E27FC236}">
                    <a16:creationId xmlns:a16="http://schemas.microsoft.com/office/drawing/2014/main" id="{00000000-0008-0000-0000-000044000000}"/>
                  </a:ext>
                </a:extLst>
              </xdr:cNvPr>
              <xdr:cNvSpPr txBox="1"/>
            </xdr:nvSpPr>
            <xdr:spPr>
              <a:xfrm>
                <a:off x="5800725" y="1988372"/>
                <a:ext cx="1638300" cy="5505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400" b="0" baseline="0">
                    <a:solidFill>
                      <a:schemeClr val="bg2">
                        <a:lumMod val="75000"/>
                      </a:schemeClr>
                    </a:solidFill>
                    <a:latin typeface="Arial" panose="020B0604020202020204" pitchFamily="34" charset="0"/>
                    <a:cs typeface="Arial" panose="020B0604020202020204" pitchFamily="34" charset="0"/>
                  </a:rPr>
                  <a:t>Equity &amp; Dividends</a:t>
                </a:r>
                <a:endParaRPr lang="it-IT" sz="1400" b="0">
                  <a:solidFill>
                    <a:schemeClr val="bg2">
                      <a:lumMod val="75000"/>
                    </a:schemeClr>
                  </a:solidFill>
                  <a:latin typeface="Arial" panose="020B0604020202020204" pitchFamily="34" charset="0"/>
                  <a:cs typeface="Arial" panose="020B0604020202020204" pitchFamily="34" charset="0"/>
                </a:endParaRPr>
              </a:p>
            </xdr:txBody>
          </xdr:sp>
          <xdr:cxnSp macro="">
            <xdr:nvCxnSpPr>
              <xdr:cNvPr id="74" name="Connettore diritto 73">
                <a:extLst>
                  <a:ext uri="{FF2B5EF4-FFF2-40B4-BE49-F238E27FC236}">
                    <a16:creationId xmlns:a16="http://schemas.microsoft.com/office/drawing/2014/main" id="{00000000-0008-0000-0000-00004A000000}"/>
                  </a:ext>
                </a:extLst>
              </xdr:cNvPr>
              <xdr:cNvCxnSpPr/>
            </xdr:nvCxnSpPr>
            <xdr:spPr>
              <a:xfrm rot="5400000">
                <a:off x="5159376" y="1933084"/>
                <a:ext cx="1188000" cy="0"/>
              </a:xfrm>
              <a:prstGeom prst="line">
                <a:avLst/>
              </a:prstGeom>
              <a:ln w="25400">
                <a:solidFill>
                  <a:schemeClr val="accent6"/>
                </a:solidFill>
              </a:ln>
            </xdr:spPr>
            <xdr:style>
              <a:lnRef idx="1">
                <a:schemeClr val="accent1"/>
              </a:lnRef>
              <a:fillRef idx="0">
                <a:schemeClr val="accent1"/>
              </a:fillRef>
              <a:effectRef idx="0">
                <a:schemeClr val="accent1"/>
              </a:effectRef>
              <a:fontRef idx="minor">
                <a:schemeClr val="tx1"/>
              </a:fontRef>
            </xdr:style>
          </xdr:cxnSp>
          <xdr:sp macro="" textlink="">
            <xdr:nvSpPr>
              <xdr:cNvPr id="87" name="CasellaDiTesto 86">
                <a:extLst>
                  <a:ext uri="{FF2B5EF4-FFF2-40B4-BE49-F238E27FC236}">
                    <a16:creationId xmlns:a16="http://schemas.microsoft.com/office/drawing/2014/main" id="{00000000-0008-0000-0000-000057000000}"/>
                  </a:ext>
                </a:extLst>
              </xdr:cNvPr>
              <xdr:cNvSpPr txBox="1"/>
            </xdr:nvSpPr>
            <xdr:spPr>
              <a:xfrm>
                <a:off x="2369223" y="1036617"/>
                <a:ext cx="793077" cy="3010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400" b="1" baseline="0">
                    <a:solidFill>
                      <a:schemeClr val="bg2">
                        <a:lumMod val="75000"/>
                      </a:schemeClr>
                    </a:solidFill>
                    <a:latin typeface="Arial" panose="020B0604020202020204" pitchFamily="34" charset="0"/>
                    <a:cs typeface="Arial" panose="020B0604020202020204" pitchFamily="34" charset="0"/>
                  </a:rPr>
                  <a:t>Market</a:t>
                </a:r>
                <a:endParaRPr lang="it-IT" sz="1400" b="1">
                  <a:solidFill>
                    <a:schemeClr val="bg2">
                      <a:lumMod val="75000"/>
                    </a:schemeClr>
                  </a:solidFill>
                  <a:latin typeface="Arial" panose="020B0604020202020204" pitchFamily="34" charset="0"/>
                  <a:cs typeface="Arial" panose="020B0604020202020204" pitchFamily="34" charset="0"/>
                </a:endParaRPr>
              </a:p>
            </xdr:txBody>
          </xdr:sp>
          <xdr:cxnSp macro="">
            <xdr:nvCxnSpPr>
              <xdr:cNvPr id="88" name="Connettore diritto 87">
                <a:extLst>
                  <a:ext uri="{FF2B5EF4-FFF2-40B4-BE49-F238E27FC236}">
                    <a16:creationId xmlns:a16="http://schemas.microsoft.com/office/drawing/2014/main" id="{00000000-0008-0000-0000-000058000000}"/>
                  </a:ext>
                </a:extLst>
              </xdr:cNvPr>
              <xdr:cNvCxnSpPr/>
            </xdr:nvCxnSpPr>
            <xdr:spPr>
              <a:xfrm>
                <a:off x="2226945" y="1350884"/>
                <a:ext cx="1188000" cy="0"/>
              </a:xfrm>
              <a:prstGeom prst="line">
                <a:avLst/>
              </a:prstGeom>
              <a:ln w="25400">
                <a:solidFill>
                  <a:schemeClr val="accent3"/>
                </a:solidFill>
              </a:ln>
            </xdr:spPr>
            <xdr:style>
              <a:lnRef idx="1">
                <a:schemeClr val="accent1"/>
              </a:lnRef>
              <a:fillRef idx="0">
                <a:schemeClr val="accent1"/>
              </a:fillRef>
              <a:effectRef idx="0">
                <a:schemeClr val="accent1"/>
              </a:effectRef>
              <a:fontRef idx="minor">
                <a:schemeClr val="tx1"/>
              </a:fontRef>
            </xdr:style>
          </xdr:cxnSp>
          <xdr:sp macro="" textlink="">
            <xdr:nvSpPr>
              <xdr:cNvPr id="89" name="CasellaDiTesto 88">
                <a:hlinkClick xmlns:r="http://schemas.openxmlformats.org/officeDocument/2006/relationships" r:id="rId28"/>
                <a:extLst>
                  <a:ext uri="{FF2B5EF4-FFF2-40B4-BE49-F238E27FC236}">
                    <a16:creationId xmlns:a16="http://schemas.microsoft.com/office/drawing/2014/main" id="{00000000-0008-0000-0000-000059000000}"/>
                  </a:ext>
                </a:extLst>
              </xdr:cNvPr>
              <xdr:cNvSpPr txBox="1"/>
            </xdr:nvSpPr>
            <xdr:spPr>
              <a:xfrm>
                <a:off x="2247900" y="1410925"/>
                <a:ext cx="1343025" cy="3010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400" b="0" baseline="0">
                    <a:solidFill>
                      <a:schemeClr val="bg2">
                        <a:lumMod val="75000"/>
                      </a:schemeClr>
                    </a:solidFill>
                    <a:latin typeface="Arial" panose="020B0604020202020204" pitchFamily="34" charset="0"/>
                    <a:cs typeface="Arial" panose="020B0604020202020204" pitchFamily="34" charset="0"/>
                  </a:rPr>
                  <a:t>Prices</a:t>
                </a:r>
                <a:endParaRPr lang="it-IT" sz="1400" b="0">
                  <a:solidFill>
                    <a:schemeClr val="bg2">
                      <a:lumMod val="75000"/>
                    </a:schemeClr>
                  </a:solidFill>
                  <a:latin typeface="Arial" panose="020B0604020202020204" pitchFamily="34" charset="0"/>
                  <a:cs typeface="Arial" panose="020B0604020202020204" pitchFamily="34" charset="0"/>
                </a:endParaRPr>
              </a:p>
            </xdr:txBody>
          </xdr:sp>
          <xdr:sp macro="" textlink="">
            <xdr:nvSpPr>
              <xdr:cNvPr id="90" name="CasellaDiTesto 89">
                <a:hlinkClick xmlns:r="http://schemas.openxmlformats.org/officeDocument/2006/relationships" r:id="rId29"/>
                <a:extLst>
                  <a:ext uri="{FF2B5EF4-FFF2-40B4-BE49-F238E27FC236}">
                    <a16:creationId xmlns:a16="http://schemas.microsoft.com/office/drawing/2014/main" id="{00000000-0008-0000-0000-00005A000000}"/>
                  </a:ext>
                </a:extLst>
              </xdr:cNvPr>
              <xdr:cNvSpPr txBox="1"/>
            </xdr:nvSpPr>
            <xdr:spPr>
              <a:xfrm>
                <a:off x="2247900" y="1704411"/>
                <a:ext cx="1343025" cy="3010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400" b="0" baseline="0">
                    <a:solidFill>
                      <a:schemeClr val="bg2">
                        <a:lumMod val="75000"/>
                      </a:schemeClr>
                    </a:solidFill>
                    <a:latin typeface="Arial" panose="020B0604020202020204" pitchFamily="34" charset="0"/>
                    <a:cs typeface="Arial" panose="020B0604020202020204" pitchFamily="34" charset="0"/>
                  </a:rPr>
                  <a:t>Demand</a:t>
                </a:r>
                <a:endParaRPr lang="it-IT" sz="1400" b="0">
                  <a:solidFill>
                    <a:schemeClr val="bg2">
                      <a:lumMod val="75000"/>
                    </a:schemeClr>
                  </a:solidFill>
                  <a:latin typeface="Arial" panose="020B0604020202020204" pitchFamily="34" charset="0"/>
                  <a:cs typeface="Arial" panose="020B0604020202020204" pitchFamily="34" charset="0"/>
                </a:endParaRPr>
              </a:p>
            </xdr:txBody>
          </xdr:sp>
          <xdr:cxnSp macro="">
            <xdr:nvCxnSpPr>
              <xdr:cNvPr id="95" name="Connettore diritto 94">
                <a:extLst>
                  <a:ext uri="{FF2B5EF4-FFF2-40B4-BE49-F238E27FC236}">
                    <a16:creationId xmlns:a16="http://schemas.microsoft.com/office/drawing/2014/main" id="{00000000-0008-0000-0000-00005F000000}"/>
                  </a:ext>
                </a:extLst>
              </xdr:cNvPr>
              <xdr:cNvCxnSpPr/>
            </xdr:nvCxnSpPr>
            <xdr:spPr>
              <a:xfrm rot="5400000">
                <a:off x="1897651" y="1685597"/>
                <a:ext cx="684000" cy="0"/>
              </a:xfrm>
              <a:prstGeom prst="line">
                <a:avLst/>
              </a:prstGeom>
              <a:ln w="25400">
                <a:solidFill>
                  <a:schemeClr val="accent3"/>
                </a:solidFill>
              </a:ln>
            </xdr:spPr>
            <xdr:style>
              <a:lnRef idx="1">
                <a:schemeClr val="accent1"/>
              </a:lnRef>
              <a:fillRef idx="0">
                <a:schemeClr val="accent1"/>
              </a:fillRef>
              <a:effectRef idx="0">
                <a:schemeClr val="accent1"/>
              </a:effectRef>
              <a:fontRef idx="minor">
                <a:schemeClr val="tx1"/>
              </a:fontRef>
            </xdr:style>
          </xdr:cxnSp>
          <xdr:sp macro="" textlink="">
            <xdr:nvSpPr>
              <xdr:cNvPr id="66" name="CasellaDiTesto 65">
                <a:hlinkClick xmlns:r="http://schemas.openxmlformats.org/officeDocument/2006/relationships" r:id="rId30"/>
                <a:extLst>
                  <a:ext uri="{FF2B5EF4-FFF2-40B4-BE49-F238E27FC236}">
                    <a16:creationId xmlns:a16="http://schemas.microsoft.com/office/drawing/2014/main" id="{00000000-0008-0000-0000-000042000000}"/>
                  </a:ext>
                </a:extLst>
              </xdr:cNvPr>
              <xdr:cNvSpPr txBox="1"/>
            </xdr:nvSpPr>
            <xdr:spPr>
              <a:xfrm>
                <a:off x="9305925" y="1704411"/>
                <a:ext cx="1343025" cy="3010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400" b="0" baseline="0">
                    <a:solidFill>
                      <a:schemeClr val="bg2">
                        <a:lumMod val="75000"/>
                      </a:schemeClr>
                    </a:solidFill>
                    <a:latin typeface="Arial" panose="020B0604020202020204" pitchFamily="34" charset="0"/>
                    <a:cs typeface="Arial" panose="020B0604020202020204" pitchFamily="34" charset="0"/>
                  </a:rPr>
                  <a:t>Social</a:t>
                </a:r>
                <a:endParaRPr lang="it-IT" sz="1400" b="0">
                  <a:solidFill>
                    <a:schemeClr val="bg2">
                      <a:lumMod val="75000"/>
                    </a:schemeClr>
                  </a:solidFill>
                  <a:latin typeface="Arial" panose="020B0604020202020204" pitchFamily="34" charset="0"/>
                  <a:cs typeface="Arial" panose="020B0604020202020204" pitchFamily="34" charset="0"/>
                </a:endParaRPr>
              </a:p>
            </xdr:txBody>
          </xdr:sp>
        </xdr:grpSp>
      </xdr:grpSp>
      <xdr:grpSp>
        <xdr:nvGrpSpPr>
          <xdr:cNvPr id="12" name="Gruppo 11">
            <a:extLst>
              <a:ext uri="{FF2B5EF4-FFF2-40B4-BE49-F238E27FC236}">
                <a16:creationId xmlns:a16="http://schemas.microsoft.com/office/drawing/2014/main" id="{00000000-0008-0000-0000-00000C000000}"/>
              </a:ext>
            </a:extLst>
          </xdr:cNvPr>
          <xdr:cNvGrpSpPr/>
        </xdr:nvGrpSpPr>
        <xdr:grpSpPr>
          <a:xfrm>
            <a:off x="10163174" y="5657849"/>
            <a:ext cx="657226" cy="590085"/>
            <a:chOff x="10163174" y="5657849"/>
            <a:chExt cx="657226" cy="590085"/>
          </a:xfrm>
        </xdr:grpSpPr>
        <xdr:pic>
          <xdr:nvPicPr>
            <xdr:cNvPr id="59" name="Elemento grafico 58" descr="Apri cartella">
              <a:hlinkClick xmlns:r="http://schemas.openxmlformats.org/officeDocument/2006/relationships" r:id="rId31"/>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 uri="{96DAC541-7B7A-43D3-8B79-37D633B846F1}">
                  <asvg:svgBlip xmlns:asvg="http://schemas.microsoft.com/office/drawing/2016/SVG/main" r:embed="rId33"/>
                </a:ext>
              </a:extLst>
            </a:blip>
            <a:stretch>
              <a:fillRect/>
            </a:stretch>
          </xdr:blipFill>
          <xdr:spPr>
            <a:xfrm>
              <a:off x="10306050" y="5657849"/>
              <a:ext cx="428625" cy="428625"/>
            </a:xfrm>
            <a:prstGeom prst="rect">
              <a:avLst/>
            </a:prstGeom>
          </xdr:spPr>
        </xdr:pic>
        <xdr:sp macro="" textlink="">
          <xdr:nvSpPr>
            <xdr:cNvPr id="60" name="CasellaDiTesto 59">
              <a:extLst>
                <a:ext uri="{FF2B5EF4-FFF2-40B4-BE49-F238E27FC236}">
                  <a16:creationId xmlns:a16="http://schemas.microsoft.com/office/drawing/2014/main" id="{00000000-0008-0000-0000-00003C000000}"/>
                </a:ext>
              </a:extLst>
            </xdr:cNvPr>
            <xdr:cNvSpPr txBox="1"/>
          </xdr:nvSpPr>
          <xdr:spPr>
            <a:xfrm>
              <a:off x="10163174" y="6000750"/>
              <a:ext cx="657226" cy="247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050">
                  <a:solidFill>
                    <a:schemeClr val="tx2"/>
                  </a:solidFill>
                  <a:latin typeface="Arial" panose="020B0604020202020204" pitchFamily="34" charset="0"/>
                  <a:cs typeface="Arial" panose="020B0604020202020204" pitchFamily="34" charset="0"/>
                </a:rPr>
                <a:t>Reports</a:t>
              </a:r>
            </a:p>
          </xdr:txBody>
        </xdr:sp>
      </xdr:grpSp>
    </xdr:grp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95250</xdr:colOff>
      <xdr:row>0</xdr:row>
      <xdr:rowOff>95250</xdr:rowOff>
    </xdr:from>
    <xdr:to>
      <xdr:col>15</xdr:col>
      <xdr:colOff>209550</xdr:colOff>
      <xdr:row>4</xdr:row>
      <xdr:rowOff>136875</xdr:rowOff>
    </xdr:to>
    <xdr:grpSp>
      <xdr:nvGrpSpPr>
        <xdr:cNvPr id="10" name="Gruppo 9">
          <a:extLst>
            <a:ext uri="{FF2B5EF4-FFF2-40B4-BE49-F238E27FC236}">
              <a16:creationId xmlns:a16="http://schemas.microsoft.com/office/drawing/2014/main" id="{00000000-0008-0000-0E00-00000A000000}"/>
            </a:ext>
          </a:extLst>
        </xdr:cNvPr>
        <xdr:cNvGrpSpPr/>
      </xdr:nvGrpSpPr>
      <xdr:grpSpPr>
        <a:xfrm>
          <a:off x="95250" y="95250"/>
          <a:ext cx="11582400" cy="765525"/>
          <a:chOff x="133351" y="104775"/>
          <a:chExt cx="11582400" cy="765525"/>
        </a:xfrm>
      </xdr:grpSpPr>
      <xdr:sp macro="" textlink="">
        <xdr:nvSpPr>
          <xdr:cNvPr id="11" name="Rettangolo 10">
            <a:extLst>
              <a:ext uri="{FF2B5EF4-FFF2-40B4-BE49-F238E27FC236}">
                <a16:creationId xmlns:a16="http://schemas.microsoft.com/office/drawing/2014/main" id="{00000000-0008-0000-0E00-00000B000000}"/>
              </a:ext>
            </a:extLst>
          </xdr:cNvPr>
          <xdr:cNvSpPr/>
        </xdr:nvSpPr>
        <xdr:spPr>
          <a:xfrm>
            <a:off x="133351" y="104775"/>
            <a:ext cx="11582400" cy="76552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pic>
        <xdr:nvPicPr>
          <xdr:cNvPr id="12" name="Immagine 11">
            <a:extLst>
              <a:ext uri="{FF2B5EF4-FFF2-40B4-BE49-F238E27FC236}">
                <a16:creationId xmlns:a16="http://schemas.microsoft.com/office/drawing/2014/main" id="{00000000-0008-0000-0E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28600"/>
            <a:ext cx="1344709" cy="462961"/>
          </a:xfrm>
          <a:prstGeom prst="rect">
            <a:avLst/>
          </a:prstGeom>
        </xdr:spPr>
      </xdr:pic>
      <xdr:pic>
        <xdr:nvPicPr>
          <xdr:cNvPr id="13" name="Elemento grafico 12" descr="Elenco">
            <a:hlinkClick xmlns:r="http://schemas.openxmlformats.org/officeDocument/2006/relationships" r:id="rId2"/>
            <a:extLst>
              <a:ext uri="{FF2B5EF4-FFF2-40B4-BE49-F238E27FC236}">
                <a16:creationId xmlns:a16="http://schemas.microsoft.com/office/drawing/2014/main" id="{00000000-0008-0000-0E00-00000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91851" y="209550"/>
            <a:ext cx="514350" cy="520830"/>
          </a:xfrm>
          <a:prstGeom prst="rect">
            <a:avLst/>
          </a:prstGeom>
        </xdr:spPr>
      </xdr:pic>
      <xdr:sp macro="" textlink="">
        <xdr:nvSpPr>
          <xdr:cNvPr id="14" name="CasellaDiTesto 13">
            <a:extLst>
              <a:ext uri="{FF2B5EF4-FFF2-40B4-BE49-F238E27FC236}">
                <a16:creationId xmlns:a16="http://schemas.microsoft.com/office/drawing/2014/main" id="{00000000-0008-0000-0E00-00000E000000}"/>
              </a:ext>
            </a:extLst>
          </xdr:cNvPr>
          <xdr:cNvSpPr txBox="1"/>
        </xdr:nvSpPr>
        <xdr:spPr>
          <a:xfrm>
            <a:off x="3954745" y="200025"/>
            <a:ext cx="3951006" cy="607636"/>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2800" b="1" u="none">
                <a:solidFill>
                  <a:schemeClr val="tx2"/>
                </a:solidFill>
                <a:latin typeface="Arial" panose="020B0604020202020204" pitchFamily="34" charset="0"/>
                <a:cs typeface="Arial" panose="020B0604020202020204" pitchFamily="34" charset="0"/>
              </a:rPr>
              <a:t>Consolidated</a:t>
            </a:r>
            <a:r>
              <a:rPr lang="it-IT" sz="2800" b="1" u="none" baseline="0">
                <a:solidFill>
                  <a:schemeClr val="tx2"/>
                </a:solidFill>
                <a:latin typeface="Arial" panose="020B0604020202020204" pitchFamily="34" charset="0"/>
                <a:cs typeface="Arial" panose="020B0604020202020204" pitchFamily="34" charset="0"/>
              </a:rPr>
              <a:t> Volumes</a:t>
            </a:r>
            <a:endParaRPr lang="it-IT" sz="2800" b="0" u="none">
              <a:solidFill>
                <a:schemeClr val="tx2"/>
              </a:solidFill>
              <a:latin typeface="Arial" panose="020B0604020202020204" pitchFamily="34" charset="0"/>
              <a:cs typeface="Arial" panose="020B0604020202020204" pitchFamily="34" charset="0"/>
            </a:endParaRPr>
          </a:p>
        </xdr:txBody>
      </xdr:sp>
      <xdr:cxnSp macro="">
        <xdr:nvCxnSpPr>
          <xdr:cNvPr id="15" name="Connettore diritto 14">
            <a:extLst>
              <a:ext uri="{FF2B5EF4-FFF2-40B4-BE49-F238E27FC236}">
                <a16:creationId xmlns:a16="http://schemas.microsoft.com/office/drawing/2014/main" id="{00000000-0008-0000-0E00-00000F000000}"/>
              </a:ext>
            </a:extLst>
          </xdr:cNvPr>
          <xdr:cNvCxnSpPr/>
        </xdr:nvCxnSpPr>
        <xdr:spPr>
          <a:xfrm>
            <a:off x="4011601" y="663105"/>
            <a:ext cx="3888000" cy="0"/>
          </a:xfrm>
          <a:prstGeom prst="line">
            <a:avLst/>
          </a:prstGeom>
          <a:ln w="25400">
            <a:solidFill>
              <a:schemeClr val="accent3"/>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95250</xdr:colOff>
      <xdr:row>0</xdr:row>
      <xdr:rowOff>95250</xdr:rowOff>
    </xdr:from>
    <xdr:to>
      <xdr:col>15</xdr:col>
      <xdr:colOff>201386</xdr:colOff>
      <xdr:row>4</xdr:row>
      <xdr:rowOff>153204</xdr:rowOff>
    </xdr:to>
    <xdr:grpSp>
      <xdr:nvGrpSpPr>
        <xdr:cNvPr id="10" name="Gruppo 9">
          <a:extLst>
            <a:ext uri="{FF2B5EF4-FFF2-40B4-BE49-F238E27FC236}">
              <a16:creationId xmlns:a16="http://schemas.microsoft.com/office/drawing/2014/main" id="{00000000-0008-0000-0F00-00000A000000}"/>
            </a:ext>
          </a:extLst>
        </xdr:cNvPr>
        <xdr:cNvGrpSpPr/>
      </xdr:nvGrpSpPr>
      <xdr:grpSpPr>
        <a:xfrm>
          <a:off x="95250" y="95250"/>
          <a:ext cx="11640911" cy="781854"/>
          <a:chOff x="133351" y="104775"/>
          <a:chExt cx="11582400" cy="765525"/>
        </a:xfrm>
      </xdr:grpSpPr>
      <xdr:sp macro="" textlink="">
        <xdr:nvSpPr>
          <xdr:cNvPr id="11" name="Rettangolo 10">
            <a:extLst>
              <a:ext uri="{FF2B5EF4-FFF2-40B4-BE49-F238E27FC236}">
                <a16:creationId xmlns:a16="http://schemas.microsoft.com/office/drawing/2014/main" id="{00000000-0008-0000-0F00-00000B000000}"/>
              </a:ext>
            </a:extLst>
          </xdr:cNvPr>
          <xdr:cNvSpPr/>
        </xdr:nvSpPr>
        <xdr:spPr>
          <a:xfrm>
            <a:off x="133351" y="104775"/>
            <a:ext cx="11582400" cy="76552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pic>
        <xdr:nvPicPr>
          <xdr:cNvPr id="12" name="Immagine 11">
            <a:extLst>
              <a:ext uri="{FF2B5EF4-FFF2-40B4-BE49-F238E27FC236}">
                <a16:creationId xmlns:a16="http://schemas.microsoft.com/office/drawing/2014/main" id="{00000000-0008-0000-0F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28600"/>
            <a:ext cx="1344709" cy="462961"/>
          </a:xfrm>
          <a:prstGeom prst="rect">
            <a:avLst/>
          </a:prstGeom>
        </xdr:spPr>
      </xdr:pic>
      <xdr:pic>
        <xdr:nvPicPr>
          <xdr:cNvPr id="13" name="Elemento grafico 12" descr="Elenco">
            <a:hlinkClick xmlns:r="http://schemas.openxmlformats.org/officeDocument/2006/relationships" r:id="rId2"/>
            <a:extLst>
              <a:ext uri="{FF2B5EF4-FFF2-40B4-BE49-F238E27FC236}">
                <a16:creationId xmlns:a16="http://schemas.microsoft.com/office/drawing/2014/main" id="{00000000-0008-0000-0F00-00000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91851" y="209550"/>
            <a:ext cx="514350" cy="520830"/>
          </a:xfrm>
          <a:prstGeom prst="rect">
            <a:avLst/>
          </a:prstGeom>
        </xdr:spPr>
      </xdr:pic>
      <xdr:sp macro="" textlink="">
        <xdr:nvSpPr>
          <xdr:cNvPr id="14" name="CasellaDiTesto 13">
            <a:extLst>
              <a:ext uri="{FF2B5EF4-FFF2-40B4-BE49-F238E27FC236}">
                <a16:creationId xmlns:a16="http://schemas.microsoft.com/office/drawing/2014/main" id="{00000000-0008-0000-0F00-00000E000000}"/>
              </a:ext>
            </a:extLst>
          </xdr:cNvPr>
          <xdr:cNvSpPr txBox="1"/>
        </xdr:nvSpPr>
        <xdr:spPr>
          <a:xfrm>
            <a:off x="4416796" y="200025"/>
            <a:ext cx="3032895" cy="607636"/>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2800" b="1" u="none">
                <a:solidFill>
                  <a:schemeClr val="tx2"/>
                </a:solidFill>
                <a:latin typeface="Arial" panose="020B0604020202020204" pitchFamily="34" charset="0"/>
                <a:cs typeface="Arial" panose="020B0604020202020204" pitchFamily="34" charset="0"/>
              </a:rPr>
              <a:t>Quarterly</a:t>
            </a:r>
            <a:r>
              <a:rPr lang="it-IT" sz="2800" b="1" u="none" baseline="0">
                <a:solidFill>
                  <a:schemeClr val="tx2"/>
                </a:solidFill>
                <a:latin typeface="Arial" panose="020B0604020202020204" pitchFamily="34" charset="0"/>
                <a:cs typeface="Arial" panose="020B0604020202020204" pitchFamily="34" charset="0"/>
              </a:rPr>
              <a:t> Results</a:t>
            </a:r>
            <a:endParaRPr lang="it-IT" sz="2800" b="0" u="none">
              <a:solidFill>
                <a:schemeClr val="tx2"/>
              </a:solidFill>
              <a:latin typeface="Arial" panose="020B0604020202020204" pitchFamily="34" charset="0"/>
              <a:cs typeface="Arial" panose="020B0604020202020204" pitchFamily="34" charset="0"/>
            </a:endParaRPr>
          </a:p>
        </xdr:txBody>
      </xdr:sp>
      <xdr:cxnSp macro="">
        <xdr:nvCxnSpPr>
          <xdr:cNvPr id="15" name="Connettore diritto 14">
            <a:extLst>
              <a:ext uri="{FF2B5EF4-FFF2-40B4-BE49-F238E27FC236}">
                <a16:creationId xmlns:a16="http://schemas.microsoft.com/office/drawing/2014/main" id="{00000000-0008-0000-0F00-00000F000000}"/>
              </a:ext>
            </a:extLst>
          </xdr:cNvPr>
          <xdr:cNvCxnSpPr/>
        </xdr:nvCxnSpPr>
        <xdr:spPr>
          <a:xfrm>
            <a:off x="4473653" y="663105"/>
            <a:ext cx="3008800" cy="0"/>
          </a:xfrm>
          <a:prstGeom prst="line">
            <a:avLst/>
          </a:prstGeom>
          <a:ln w="25400">
            <a:solidFill>
              <a:schemeClr val="accent3"/>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95250</xdr:colOff>
      <xdr:row>0</xdr:row>
      <xdr:rowOff>95250</xdr:rowOff>
    </xdr:from>
    <xdr:to>
      <xdr:col>11</xdr:col>
      <xdr:colOff>620486</xdr:colOff>
      <xdr:row>4</xdr:row>
      <xdr:rowOff>153204</xdr:rowOff>
    </xdr:to>
    <xdr:grpSp>
      <xdr:nvGrpSpPr>
        <xdr:cNvPr id="10" name="Gruppo 9">
          <a:extLst>
            <a:ext uri="{FF2B5EF4-FFF2-40B4-BE49-F238E27FC236}">
              <a16:creationId xmlns:a16="http://schemas.microsoft.com/office/drawing/2014/main" id="{00000000-0008-0000-1000-00000A000000}"/>
            </a:ext>
          </a:extLst>
        </xdr:cNvPr>
        <xdr:cNvGrpSpPr/>
      </xdr:nvGrpSpPr>
      <xdr:grpSpPr>
        <a:xfrm>
          <a:off x="95250" y="95250"/>
          <a:ext cx="11602811" cy="781854"/>
          <a:chOff x="133351" y="104775"/>
          <a:chExt cx="11582400" cy="765525"/>
        </a:xfrm>
      </xdr:grpSpPr>
      <xdr:sp macro="" textlink="">
        <xdr:nvSpPr>
          <xdr:cNvPr id="11" name="Rettangolo 10">
            <a:extLst>
              <a:ext uri="{FF2B5EF4-FFF2-40B4-BE49-F238E27FC236}">
                <a16:creationId xmlns:a16="http://schemas.microsoft.com/office/drawing/2014/main" id="{00000000-0008-0000-1000-00000B000000}"/>
              </a:ext>
            </a:extLst>
          </xdr:cNvPr>
          <xdr:cNvSpPr/>
        </xdr:nvSpPr>
        <xdr:spPr>
          <a:xfrm>
            <a:off x="133351" y="104775"/>
            <a:ext cx="11582400" cy="76552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pic>
        <xdr:nvPicPr>
          <xdr:cNvPr id="12" name="Immagine 11">
            <a:extLst>
              <a:ext uri="{FF2B5EF4-FFF2-40B4-BE49-F238E27FC236}">
                <a16:creationId xmlns:a16="http://schemas.microsoft.com/office/drawing/2014/main" id="{00000000-0008-0000-1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28600"/>
            <a:ext cx="1344709" cy="462961"/>
          </a:xfrm>
          <a:prstGeom prst="rect">
            <a:avLst/>
          </a:prstGeom>
        </xdr:spPr>
      </xdr:pic>
      <xdr:pic>
        <xdr:nvPicPr>
          <xdr:cNvPr id="13" name="Elemento grafico 12" descr="Elenco">
            <a:hlinkClick xmlns:r="http://schemas.openxmlformats.org/officeDocument/2006/relationships" r:id="rId2"/>
            <a:extLst>
              <a:ext uri="{FF2B5EF4-FFF2-40B4-BE49-F238E27FC236}">
                <a16:creationId xmlns:a16="http://schemas.microsoft.com/office/drawing/2014/main" id="{00000000-0008-0000-1000-00000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91851" y="209550"/>
            <a:ext cx="514350" cy="520830"/>
          </a:xfrm>
          <a:prstGeom prst="rect">
            <a:avLst/>
          </a:prstGeom>
        </xdr:spPr>
      </xdr:pic>
      <xdr:sp macro="" textlink="">
        <xdr:nvSpPr>
          <xdr:cNvPr id="14" name="CasellaDiTesto 13">
            <a:extLst>
              <a:ext uri="{FF2B5EF4-FFF2-40B4-BE49-F238E27FC236}">
                <a16:creationId xmlns:a16="http://schemas.microsoft.com/office/drawing/2014/main" id="{00000000-0008-0000-1000-00000E000000}"/>
              </a:ext>
            </a:extLst>
          </xdr:cNvPr>
          <xdr:cNvSpPr txBox="1"/>
        </xdr:nvSpPr>
        <xdr:spPr>
          <a:xfrm>
            <a:off x="3971371" y="200025"/>
            <a:ext cx="3914267" cy="607636"/>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2800" b="1" u="none">
                <a:solidFill>
                  <a:schemeClr val="tx2"/>
                </a:solidFill>
                <a:latin typeface="Arial" panose="020B0604020202020204" pitchFamily="34" charset="0"/>
                <a:cs typeface="Arial" panose="020B0604020202020204" pitchFamily="34" charset="0"/>
              </a:rPr>
              <a:t>Separate Profit &amp; Loss</a:t>
            </a:r>
            <a:endParaRPr lang="it-IT" sz="2800" b="0" u="none">
              <a:solidFill>
                <a:schemeClr val="tx2"/>
              </a:solidFill>
              <a:latin typeface="Arial" panose="020B0604020202020204" pitchFamily="34" charset="0"/>
              <a:cs typeface="Arial" panose="020B0604020202020204" pitchFamily="34" charset="0"/>
            </a:endParaRPr>
          </a:p>
        </xdr:txBody>
      </xdr:sp>
      <xdr:cxnSp macro="">
        <xdr:nvCxnSpPr>
          <xdr:cNvPr id="15" name="Connettore diritto 14">
            <a:extLst>
              <a:ext uri="{FF2B5EF4-FFF2-40B4-BE49-F238E27FC236}">
                <a16:creationId xmlns:a16="http://schemas.microsoft.com/office/drawing/2014/main" id="{00000000-0008-0000-1000-00000F000000}"/>
              </a:ext>
            </a:extLst>
          </xdr:cNvPr>
          <xdr:cNvCxnSpPr/>
        </xdr:nvCxnSpPr>
        <xdr:spPr>
          <a:xfrm>
            <a:off x="4028228" y="663105"/>
            <a:ext cx="3832639" cy="0"/>
          </a:xfrm>
          <a:prstGeom prst="line">
            <a:avLst/>
          </a:prstGeom>
          <a:ln w="25400">
            <a:solidFill>
              <a:schemeClr val="accent3"/>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95250</xdr:colOff>
      <xdr:row>0</xdr:row>
      <xdr:rowOff>95250</xdr:rowOff>
    </xdr:from>
    <xdr:to>
      <xdr:col>12</xdr:col>
      <xdr:colOff>283936</xdr:colOff>
      <xdr:row>4</xdr:row>
      <xdr:rowOff>153204</xdr:rowOff>
    </xdr:to>
    <xdr:grpSp>
      <xdr:nvGrpSpPr>
        <xdr:cNvPr id="2" name="Gruppo 1">
          <a:extLst>
            <a:ext uri="{FF2B5EF4-FFF2-40B4-BE49-F238E27FC236}">
              <a16:creationId xmlns:a16="http://schemas.microsoft.com/office/drawing/2014/main" id="{00000000-0008-0000-1100-000002000000}"/>
            </a:ext>
          </a:extLst>
        </xdr:cNvPr>
        <xdr:cNvGrpSpPr/>
      </xdr:nvGrpSpPr>
      <xdr:grpSpPr>
        <a:xfrm>
          <a:off x="95250" y="95250"/>
          <a:ext cx="11637736" cy="781854"/>
          <a:chOff x="133351" y="104775"/>
          <a:chExt cx="11582400" cy="765525"/>
        </a:xfrm>
      </xdr:grpSpPr>
      <xdr:sp macro="" textlink="">
        <xdr:nvSpPr>
          <xdr:cNvPr id="3" name="Rettangolo 2">
            <a:extLst>
              <a:ext uri="{FF2B5EF4-FFF2-40B4-BE49-F238E27FC236}">
                <a16:creationId xmlns:a16="http://schemas.microsoft.com/office/drawing/2014/main" id="{00000000-0008-0000-1100-000003000000}"/>
              </a:ext>
            </a:extLst>
          </xdr:cNvPr>
          <xdr:cNvSpPr/>
        </xdr:nvSpPr>
        <xdr:spPr>
          <a:xfrm>
            <a:off x="133351" y="104775"/>
            <a:ext cx="11582400" cy="76552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pic>
        <xdr:nvPicPr>
          <xdr:cNvPr id="4" name="Immagine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28600"/>
            <a:ext cx="1344709" cy="462961"/>
          </a:xfrm>
          <a:prstGeom prst="rect">
            <a:avLst/>
          </a:prstGeom>
        </xdr:spPr>
      </xdr:pic>
      <xdr:pic>
        <xdr:nvPicPr>
          <xdr:cNvPr id="5" name="Elemento grafico 4" descr="Elenco">
            <a:hlinkClick xmlns:r="http://schemas.openxmlformats.org/officeDocument/2006/relationships" r:id="rId2"/>
            <a:extLst>
              <a:ext uri="{FF2B5EF4-FFF2-40B4-BE49-F238E27FC236}">
                <a16:creationId xmlns:a16="http://schemas.microsoft.com/office/drawing/2014/main" id="{00000000-0008-0000-11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91851" y="209550"/>
            <a:ext cx="514350" cy="520830"/>
          </a:xfrm>
          <a:prstGeom prst="rect">
            <a:avLst/>
          </a:prstGeom>
        </xdr:spPr>
      </xdr:pic>
      <xdr:sp macro="" textlink="">
        <xdr:nvSpPr>
          <xdr:cNvPr id="6" name="CasellaDiTesto 5">
            <a:extLst>
              <a:ext uri="{FF2B5EF4-FFF2-40B4-BE49-F238E27FC236}">
                <a16:creationId xmlns:a16="http://schemas.microsoft.com/office/drawing/2014/main" id="{00000000-0008-0000-1100-000006000000}"/>
              </a:ext>
            </a:extLst>
          </xdr:cNvPr>
          <xdr:cNvSpPr txBox="1"/>
        </xdr:nvSpPr>
        <xdr:spPr>
          <a:xfrm>
            <a:off x="3857646" y="200025"/>
            <a:ext cx="4160672" cy="607636"/>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2800" b="1" u="none">
                <a:solidFill>
                  <a:schemeClr val="tx2"/>
                </a:solidFill>
                <a:latin typeface="Arial" panose="020B0604020202020204" pitchFamily="34" charset="0"/>
                <a:cs typeface="Arial" panose="020B0604020202020204" pitchFamily="34" charset="0"/>
              </a:rPr>
              <a:t>Separate Balance Sheet</a:t>
            </a:r>
            <a:endParaRPr lang="it-IT" sz="2800" b="0" u="none">
              <a:solidFill>
                <a:schemeClr val="tx2"/>
              </a:solidFill>
              <a:latin typeface="Arial" panose="020B0604020202020204" pitchFamily="34" charset="0"/>
              <a:cs typeface="Arial" panose="020B0604020202020204" pitchFamily="34" charset="0"/>
            </a:endParaRPr>
          </a:p>
        </xdr:txBody>
      </xdr:sp>
      <xdr:cxnSp macro="">
        <xdr:nvCxnSpPr>
          <xdr:cNvPr id="7" name="Connettore diritto 6">
            <a:extLst>
              <a:ext uri="{FF2B5EF4-FFF2-40B4-BE49-F238E27FC236}">
                <a16:creationId xmlns:a16="http://schemas.microsoft.com/office/drawing/2014/main" id="{00000000-0008-0000-1100-000007000000}"/>
              </a:ext>
            </a:extLst>
          </xdr:cNvPr>
          <xdr:cNvCxnSpPr/>
        </xdr:nvCxnSpPr>
        <xdr:spPr>
          <a:xfrm>
            <a:off x="3914503" y="663105"/>
            <a:ext cx="4083372" cy="0"/>
          </a:xfrm>
          <a:prstGeom prst="line">
            <a:avLst/>
          </a:prstGeom>
          <a:ln w="25400">
            <a:solidFill>
              <a:schemeClr val="accent3"/>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95250</xdr:colOff>
      <xdr:row>0</xdr:row>
      <xdr:rowOff>95250</xdr:rowOff>
    </xdr:from>
    <xdr:to>
      <xdr:col>9</xdr:col>
      <xdr:colOff>913380</xdr:colOff>
      <xdr:row>4</xdr:row>
      <xdr:rowOff>162729</xdr:rowOff>
    </xdr:to>
    <xdr:grpSp>
      <xdr:nvGrpSpPr>
        <xdr:cNvPr id="2" name="Gruppo 1">
          <a:extLst>
            <a:ext uri="{FF2B5EF4-FFF2-40B4-BE49-F238E27FC236}">
              <a16:creationId xmlns:a16="http://schemas.microsoft.com/office/drawing/2014/main" id="{00000000-0008-0000-1200-000002000000}"/>
            </a:ext>
          </a:extLst>
        </xdr:cNvPr>
        <xdr:cNvGrpSpPr/>
      </xdr:nvGrpSpPr>
      <xdr:grpSpPr>
        <a:xfrm>
          <a:off x="95250" y="95250"/>
          <a:ext cx="11687836" cy="784655"/>
          <a:chOff x="133351" y="104775"/>
          <a:chExt cx="11582400" cy="765525"/>
        </a:xfrm>
      </xdr:grpSpPr>
      <xdr:sp macro="" textlink="">
        <xdr:nvSpPr>
          <xdr:cNvPr id="3" name="Rettangolo 2">
            <a:extLst>
              <a:ext uri="{FF2B5EF4-FFF2-40B4-BE49-F238E27FC236}">
                <a16:creationId xmlns:a16="http://schemas.microsoft.com/office/drawing/2014/main" id="{00000000-0008-0000-1200-000003000000}"/>
              </a:ext>
            </a:extLst>
          </xdr:cNvPr>
          <xdr:cNvSpPr/>
        </xdr:nvSpPr>
        <xdr:spPr>
          <a:xfrm>
            <a:off x="133351" y="104775"/>
            <a:ext cx="11582400" cy="76552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pic>
        <xdr:nvPicPr>
          <xdr:cNvPr id="4" name="Immagine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28600"/>
            <a:ext cx="1344709" cy="462961"/>
          </a:xfrm>
          <a:prstGeom prst="rect">
            <a:avLst/>
          </a:prstGeom>
        </xdr:spPr>
      </xdr:pic>
      <xdr:pic>
        <xdr:nvPicPr>
          <xdr:cNvPr id="5" name="Elemento grafico 4" descr="Elenco">
            <a:hlinkClick xmlns:r="http://schemas.openxmlformats.org/officeDocument/2006/relationships" r:id="rId2"/>
            <a:extLst>
              <a:ext uri="{FF2B5EF4-FFF2-40B4-BE49-F238E27FC236}">
                <a16:creationId xmlns:a16="http://schemas.microsoft.com/office/drawing/2014/main" id="{00000000-0008-0000-12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91851" y="209550"/>
            <a:ext cx="514350" cy="520830"/>
          </a:xfrm>
          <a:prstGeom prst="rect">
            <a:avLst/>
          </a:prstGeom>
        </xdr:spPr>
      </xdr:pic>
      <xdr:sp macro="" textlink="">
        <xdr:nvSpPr>
          <xdr:cNvPr id="6" name="CasellaDiTesto 5">
            <a:extLst>
              <a:ext uri="{FF2B5EF4-FFF2-40B4-BE49-F238E27FC236}">
                <a16:creationId xmlns:a16="http://schemas.microsoft.com/office/drawing/2014/main" id="{00000000-0008-0000-1200-000006000000}"/>
              </a:ext>
            </a:extLst>
          </xdr:cNvPr>
          <xdr:cNvSpPr txBox="1"/>
        </xdr:nvSpPr>
        <xdr:spPr>
          <a:xfrm>
            <a:off x="3299456" y="200025"/>
            <a:ext cx="5237547" cy="607636"/>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2800" b="1" u="none">
                <a:solidFill>
                  <a:schemeClr val="tx2"/>
                </a:solidFill>
                <a:latin typeface="Arial" panose="020B0604020202020204" pitchFamily="34" charset="0"/>
                <a:cs typeface="Arial" panose="020B0604020202020204" pitchFamily="34" charset="0"/>
              </a:rPr>
              <a:t>Separate Shareholder's Equity</a:t>
            </a:r>
            <a:endParaRPr lang="it-IT" sz="2800" b="0" u="none">
              <a:solidFill>
                <a:schemeClr val="tx2"/>
              </a:solidFill>
              <a:latin typeface="Arial" panose="020B0604020202020204" pitchFamily="34" charset="0"/>
              <a:cs typeface="Arial" panose="020B0604020202020204" pitchFamily="34" charset="0"/>
            </a:endParaRPr>
          </a:p>
        </xdr:txBody>
      </xdr:sp>
      <xdr:cxnSp macro="">
        <xdr:nvCxnSpPr>
          <xdr:cNvPr id="7" name="Connettore diritto 6">
            <a:extLst>
              <a:ext uri="{FF2B5EF4-FFF2-40B4-BE49-F238E27FC236}">
                <a16:creationId xmlns:a16="http://schemas.microsoft.com/office/drawing/2014/main" id="{00000000-0008-0000-1200-000007000000}"/>
              </a:ext>
            </a:extLst>
          </xdr:cNvPr>
          <xdr:cNvCxnSpPr/>
        </xdr:nvCxnSpPr>
        <xdr:spPr>
          <a:xfrm>
            <a:off x="3356314" y="663105"/>
            <a:ext cx="5150568" cy="0"/>
          </a:xfrm>
          <a:prstGeom prst="line">
            <a:avLst/>
          </a:prstGeom>
          <a:ln w="25400">
            <a:solidFill>
              <a:schemeClr val="accent3"/>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95250</xdr:colOff>
      <xdr:row>0</xdr:row>
      <xdr:rowOff>95250</xdr:rowOff>
    </xdr:from>
    <xdr:to>
      <xdr:col>9</xdr:col>
      <xdr:colOff>171450</xdr:colOff>
      <xdr:row>4</xdr:row>
      <xdr:rowOff>153204</xdr:rowOff>
    </xdr:to>
    <xdr:grpSp>
      <xdr:nvGrpSpPr>
        <xdr:cNvPr id="2" name="Gruppo 1">
          <a:extLst>
            <a:ext uri="{FF2B5EF4-FFF2-40B4-BE49-F238E27FC236}">
              <a16:creationId xmlns:a16="http://schemas.microsoft.com/office/drawing/2014/main" id="{00000000-0008-0000-1300-000002000000}"/>
            </a:ext>
          </a:extLst>
        </xdr:cNvPr>
        <xdr:cNvGrpSpPr/>
      </xdr:nvGrpSpPr>
      <xdr:grpSpPr>
        <a:xfrm>
          <a:off x="95250" y="95250"/>
          <a:ext cx="12153900" cy="781854"/>
          <a:chOff x="133351" y="104775"/>
          <a:chExt cx="11582400" cy="765525"/>
        </a:xfrm>
      </xdr:grpSpPr>
      <xdr:sp macro="" textlink="">
        <xdr:nvSpPr>
          <xdr:cNvPr id="3" name="Rettangolo 2">
            <a:extLst>
              <a:ext uri="{FF2B5EF4-FFF2-40B4-BE49-F238E27FC236}">
                <a16:creationId xmlns:a16="http://schemas.microsoft.com/office/drawing/2014/main" id="{00000000-0008-0000-1300-000003000000}"/>
              </a:ext>
            </a:extLst>
          </xdr:cNvPr>
          <xdr:cNvSpPr/>
        </xdr:nvSpPr>
        <xdr:spPr>
          <a:xfrm>
            <a:off x="133351" y="104775"/>
            <a:ext cx="11582400" cy="76552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pic>
        <xdr:nvPicPr>
          <xdr:cNvPr id="4" name="Immagine 3">
            <a:extLst>
              <a:ext uri="{FF2B5EF4-FFF2-40B4-BE49-F238E27FC236}">
                <a16:creationId xmlns:a16="http://schemas.microsoft.com/office/drawing/2014/main" id="{00000000-0008-0000-1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28600"/>
            <a:ext cx="1344709" cy="462961"/>
          </a:xfrm>
          <a:prstGeom prst="rect">
            <a:avLst/>
          </a:prstGeom>
        </xdr:spPr>
      </xdr:pic>
      <xdr:pic>
        <xdr:nvPicPr>
          <xdr:cNvPr id="5" name="Elemento grafico 4" descr="Elenco">
            <a:hlinkClick xmlns:r="http://schemas.openxmlformats.org/officeDocument/2006/relationships" r:id="rId2"/>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91851" y="209550"/>
            <a:ext cx="514350" cy="520830"/>
          </a:xfrm>
          <a:prstGeom prst="rect">
            <a:avLst/>
          </a:prstGeom>
        </xdr:spPr>
      </xdr:pic>
      <xdr:sp macro="" textlink="">
        <xdr:nvSpPr>
          <xdr:cNvPr id="6" name="CasellaDiTesto 5">
            <a:extLst>
              <a:ext uri="{FF2B5EF4-FFF2-40B4-BE49-F238E27FC236}">
                <a16:creationId xmlns:a16="http://schemas.microsoft.com/office/drawing/2014/main" id="{00000000-0008-0000-1300-000006000000}"/>
              </a:ext>
            </a:extLst>
          </xdr:cNvPr>
          <xdr:cNvSpPr txBox="1"/>
        </xdr:nvSpPr>
        <xdr:spPr>
          <a:xfrm>
            <a:off x="4378887" y="200025"/>
            <a:ext cx="3099235" cy="607636"/>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2800" b="1" u="none">
                <a:solidFill>
                  <a:schemeClr val="tx2"/>
                </a:solidFill>
                <a:latin typeface="Arial" panose="020B0604020202020204" pitchFamily="34" charset="0"/>
                <a:cs typeface="Arial" panose="020B0604020202020204" pitchFamily="34" charset="0"/>
              </a:rPr>
              <a:t>Plants -</a:t>
            </a:r>
            <a:r>
              <a:rPr lang="it-IT" sz="2800" b="1" u="none" baseline="0">
                <a:solidFill>
                  <a:schemeClr val="tx2"/>
                </a:solidFill>
                <a:latin typeface="Arial" panose="020B0604020202020204" pitchFamily="34" charset="0"/>
                <a:cs typeface="Arial" panose="020B0604020202020204" pitchFamily="34" charset="0"/>
              </a:rPr>
              <a:t> Summary</a:t>
            </a:r>
            <a:endParaRPr lang="it-IT" sz="2800" b="0" u="none">
              <a:solidFill>
                <a:schemeClr val="tx2"/>
              </a:solidFill>
              <a:latin typeface="Arial" panose="020B0604020202020204" pitchFamily="34" charset="0"/>
              <a:cs typeface="Arial" panose="020B0604020202020204" pitchFamily="34" charset="0"/>
            </a:endParaRPr>
          </a:p>
        </xdr:txBody>
      </xdr:sp>
      <xdr:cxnSp macro="">
        <xdr:nvCxnSpPr>
          <xdr:cNvPr id="7" name="Connettore diritto 6">
            <a:extLst>
              <a:ext uri="{FF2B5EF4-FFF2-40B4-BE49-F238E27FC236}">
                <a16:creationId xmlns:a16="http://schemas.microsoft.com/office/drawing/2014/main" id="{00000000-0008-0000-1300-000007000000}"/>
              </a:ext>
            </a:extLst>
          </xdr:cNvPr>
          <xdr:cNvCxnSpPr/>
        </xdr:nvCxnSpPr>
        <xdr:spPr>
          <a:xfrm>
            <a:off x="4435745" y="663105"/>
            <a:ext cx="3008800" cy="0"/>
          </a:xfrm>
          <a:prstGeom prst="line">
            <a:avLst/>
          </a:prstGeom>
          <a:ln w="25400">
            <a:solidFill>
              <a:schemeClr val="accent3"/>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95250</xdr:colOff>
      <xdr:row>0</xdr:row>
      <xdr:rowOff>95250</xdr:rowOff>
    </xdr:from>
    <xdr:to>
      <xdr:col>14</xdr:col>
      <xdr:colOff>28575</xdr:colOff>
      <xdr:row>4</xdr:row>
      <xdr:rowOff>153204</xdr:rowOff>
    </xdr:to>
    <xdr:grpSp>
      <xdr:nvGrpSpPr>
        <xdr:cNvPr id="10" name="Gruppo 9">
          <a:extLst>
            <a:ext uri="{FF2B5EF4-FFF2-40B4-BE49-F238E27FC236}">
              <a16:creationId xmlns:a16="http://schemas.microsoft.com/office/drawing/2014/main" id="{00000000-0008-0000-1400-00000A000000}"/>
            </a:ext>
          </a:extLst>
        </xdr:cNvPr>
        <xdr:cNvGrpSpPr/>
      </xdr:nvGrpSpPr>
      <xdr:grpSpPr>
        <a:xfrm>
          <a:off x="95250" y="95250"/>
          <a:ext cx="13896975" cy="781854"/>
          <a:chOff x="133351" y="104775"/>
          <a:chExt cx="11582400" cy="765525"/>
        </a:xfrm>
      </xdr:grpSpPr>
      <xdr:sp macro="" textlink="">
        <xdr:nvSpPr>
          <xdr:cNvPr id="11" name="Rettangolo 10">
            <a:extLst>
              <a:ext uri="{FF2B5EF4-FFF2-40B4-BE49-F238E27FC236}">
                <a16:creationId xmlns:a16="http://schemas.microsoft.com/office/drawing/2014/main" id="{00000000-0008-0000-1400-00000B000000}"/>
              </a:ext>
            </a:extLst>
          </xdr:cNvPr>
          <xdr:cNvSpPr/>
        </xdr:nvSpPr>
        <xdr:spPr>
          <a:xfrm>
            <a:off x="133351" y="104775"/>
            <a:ext cx="11582400" cy="76552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pic>
        <xdr:nvPicPr>
          <xdr:cNvPr id="12" name="Immagine 11">
            <a:extLst>
              <a:ext uri="{FF2B5EF4-FFF2-40B4-BE49-F238E27FC236}">
                <a16:creationId xmlns:a16="http://schemas.microsoft.com/office/drawing/2014/main" id="{00000000-0008-0000-14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28600"/>
            <a:ext cx="1098719" cy="462961"/>
          </a:xfrm>
          <a:prstGeom prst="rect">
            <a:avLst/>
          </a:prstGeom>
        </xdr:spPr>
      </xdr:pic>
      <xdr:pic>
        <xdr:nvPicPr>
          <xdr:cNvPr id="13" name="Elemento grafico 12" descr="Elenco">
            <a:hlinkClick xmlns:r="http://schemas.openxmlformats.org/officeDocument/2006/relationships" r:id="rId2"/>
            <a:extLst>
              <a:ext uri="{FF2B5EF4-FFF2-40B4-BE49-F238E27FC236}">
                <a16:creationId xmlns:a16="http://schemas.microsoft.com/office/drawing/2014/main" id="{00000000-0008-0000-1400-00000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91851" y="209550"/>
            <a:ext cx="514350" cy="520830"/>
          </a:xfrm>
          <a:prstGeom prst="rect">
            <a:avLst/>
          </a:prstGeom>
        </xdr:spPr>
      </xdr:pic>
      <xdr:sp macro="" textlink="">
        <xdr:nvSpPr>
          <xdr:cNvPr id="14" name="CasellaDiTesto 13">
            <a:extLst>
              <a:ext uri="{FF2B5EF4-FFF2-40B4-BE49-F238E27FC236}">
                <a16:creationId xmlns:a16="http://schemas.microsoft.com/office/drawing/2014/main" id="{00000000-0008-0000-1400-00000E000000}"/>
              </a:ext>
            </a:extLst>
          </xdr:cNvPr>
          <xdr:cNvSpPr txBox="1"/>
        </xdr:nvSpPr>
        <xdr:spPr>
          <a:xfrm>
            <a:off x="3914508" y="200025"/>
            <a:ext cx="4027994" cy="607636"/>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2800" b="1" u="none">
                <a:solidFill>
                  <a:schemeClr val="tx2"/>
                </a:solidFill>
                <a:latin typeface="Arial" panose="020B0604020202020204" pitchFamily="34" charset="0"/>
                <a:cs typeface="Arial" panose="020B0604020202020204" pitchFamily="34" charset="0"/>
              </a:rPr>
              <a:t>Plants -</a:t>
            </a:r>
            <a:r>
              <a:rPr lang="it-IT" sz="2800" b="1" u="none" baseline="0">
                <a:solidFill>
                  <a:schemeClr val="tx2"/>
                </a:solidFill>
                <a:latin typeface="Arial" panose="020B0604020202020204" pitchFamily="34" charset="0"/>
                <a:cs typeface="Arial" panose="020B0604020202020204" pitchFamily="34" charset="0"/>
              </a:rPr>
              <a:t> Thermoelectric</a:t>
            </a:r>
            <a:endParaRPr lang="it-IT" sz="2800" b="0" u="none">
              <a:solidFill>
                <a:schemeClr val="tx2"/>
              </a:solidFill>
              <a:latin typeface="Arial" panose="020B0604020202020204" pitchFamily="34" charset="0"/>
              <a:cs typeface="Arial" panose="020B0604020202020204" pitchFamily="34" charset="0"/>
            </a:endParaRPr>
          </a:p>
        </xdr:txBody>
      </xdr:sp>
      <xdr:cxnSp macro="">
        <xdr:nvCxnSpPr>
          <xdr:cNvPr id="15" name="Connettore diritto 14">
            <a:extLst>
              <a:ext uri="{FF2B5EF4-FFF2-40B4-BE49-F238E27FC236}">
                <a16:creationId xmlns:a16="http://schemas.microsoft.com/office/drawing/2014/main" id="{00000000-0008-0000-1400-00000F000000}"/>
              </a:ext>
            </a:extLst>
          </xdr:cNvPr>
          <xdr:cNvCxnSpPr/>
        </xdr:nvCxnSpPr>
        <xdr:spPr>
          <a:xfrm>
            <a:off x="3971364" y="663105"/>
            <a:ext cx="3314655" cy="10561"/>
          </a:xfrm>
          <a:prstGeom prst="line">
            <a:avLst/>
          </a:prstGeom>
          <a:ln w="25400">
            <a:solidFill>
              <a:schemeClr val="accent3"/>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7.xml><?xml version="1.0" encoding="utf-8"?>
<xdr:wsDr xmlns:xdr="http://schemas.openxmlformats.org/drawingml/2006/spreadsheetDrawing" xmlns:a="http://schemas.openxmlformats.org/drawingml/2006/main">
  <xdr:twoCellAnchor>
    <xdr:from>
      <xdr:col>13</xdr:col>
      <xdr:colOff>0</xdr:colOff>
      <xdr:row>6</xdr:row>
      <xdr:rowOff>123825</xdr:rowOff>
    </xdr:from>
    <xdr:to>
      <xdr:col>13</xdr:col>
      <xdr:colOff>0</xdr:colOff>
      <xdr:row>9</xdr:row>
      <xdr:rowOff>0</xdr:rowOff>
    </xdr:to>
    <xdr:sp macro="" textlink="">
      <xdr:nvSpPr>
        <xdr:cNvPr id="2" name="Freccia in giù 1">
          <a:extLst>
            <a:ext uri="{FF2B5EF4-FFF2-40B4-BE49-F238E27FC236}">
              <a16:creationId xmlns:a16="http://schemas.microsoft.com/office/drawing/2014/main" id="{00000000-0008-0000-1500-000002000000}"/>
            </a:ext>
          </a:extLst>
        </xdr:cNvPr>
        <xdr:cNvSpPr/>
      </xdr:nvSpPr>
      <xdr:spPr>
        <a:xfrm>
          <a:off x="15782925" y="123825"/>
          <a:ext cx="0" cy="609600"/>
        </a:xfrm>
        <a:prstGeom prst="downArrow">
          <a:avLst/>
        </a:prstGeom>
        <a:gradFill>
          <a:gsLst>
            <a:gs pos="0">
              <a:srgbClr val="FF3399"/>
            </a:gs>
            <a:gs pos="25000">
              <a:srgbClr val="FF6633"/>
            </a:gs>
            <a:gs pos="50000">
              <a:srgbClr val="FFFF00"/>
            </a:gs>
            <a:gs pos="75000">
              <a:srgbClr val="01A78F"/>
            </a:gs>
            <a:gs pos="100000">
              <a:srgbClr val="3366FF"/>
            </a:gs>
          </a:gsLst>
          <a:lin ang="16200000" scaled="0"/>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13</xdr:col>
      <xdr:colOff>0</xdr:colOff>
      <xdr:row>6</xdr:row>
      <xdr:rowOff>142875</xdr:rowOff>
    </xdr:from>
    <xdr:to>
      <xdr:col>13</xdr:col>
      <xdr:colOff>0</xdr:colOff>
      <xdr:row>9</xdr:row>
      <xdr:rowOff>0</xdr:rowOff>
    </xdr:to>
    <xdr:sp macro="" textlink="">
      <xdr:nvSpPr>
        <xdr:cNvPr id="3" name="Freccia in giù 2">
          <a:extLst>
            <a:ext uri="{FF2B5EF4-FFF2-40B4-BE49-F238E27FC236}">
              <a16:creationId xmlns:a16="http://schemas.microsoft.com/office/drawing/2014/main" id="{00000000-0008-0000-1500-000003000000}"/>
            </a:ext>
          </a:extLst>
        </xdr:cNvPr>
        <xdr:cNvSpPr/>
      </xdr:nvSpPr>
      <xdr:spPr>
        <a:xfrm>
          <a:off x="15782925" y="142875"/>
          <a:ext cx="0" cy="590550"/>
        </a:xfrm>
        <a:prstGeom prst="downArrow">
          <a:avLst/>
        </a:prstGeom>
        <a:gradFill rotWithShape="1">
          <a:gsLst>
            <a:gs pos="0">
              <a:srgbClr val="FF3399"/>
            </a:gs>
            <a:gs pos="25000">
              <a:srgbClr val="FF6633"/>
            </a:gs>
            <a:gs pos="50000">
              <a:srgbClr val="FFFF00"/>
            </a:gs>
            <a:gs pos="75000">
              <a:srgbClr val="01A78F"/>
            </a:gs>
            <a:gs pos="100000">
              <a:srgbClr val="3366FF"/>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editAs="absolute">
    <xdr:from>
      <xdr:col>0</xdr:col>
      <xdr:colOff>95250</xdr:colOff>
      <xdr:row>0</xdr:row>
      <xdr:rowOff>95250</xdr:rowOff>
    </xdr:from>
    <xdr:to>
      <xdr:col>12</xdr:col>
      <xdr:colOff>9525</xdr:colOff>
      <xdr:row>4</xdr:row>
      <xdr:rowOff>115104</xdr:rowOff>
    </xdr:to>
    <xdr:grpSp>
      <xdr:nvGrpSpPr>
        <xdr:cNvPr id="13" name="Gruppo 12">
          <a:extLst>
            <a:ext uri="{FF2B5EF4-FFF2-40B4-BE49-F238E27FC236}">
              <a16:creationId xmlns:a16="http://schemas.microsoft.com/office/drawing/2014/main" id="{00000000-0008-0000-1500-00000D000000}"/>
            </a:ext>
          </a:extLst>
        </xdr:cNvPr>
        <xdr:cNvGrpSpPr/>
      </xdr:nvGrpSpPr>
      <xdr:grpSpPr>
        <a:xfrm>
          <a:off x="95250" y="95250"/>
          <a:ext cx="13125450" cy="781854"/>
          <a:chOff x="133351" y="104775"/>
          <a:chExt cx="11582400" cy="765525"/>
        </a:xfrm>
      </xdr:grpSpPr>
      <xdr:sp macro="" textlink="">
        <xdr:nvSpPr>
          <xdr:cNvPr id="14" name="Rettangolo 13">
            <a:extLst>
              <a:ext uri="{FF2B5EF4-FFF2-40B4-BE49-F238E27FC236}">
                <a16:creationId xmlns:a16="http://schemas.microsoft.com/office/drawing/2014/main" id="{00000000-0008-0000-1500-00000E000000}"/>
              </a:ext>
            </a:extLst>
          </xdr:cNvPr>
          <xdr:cNvSpPr/>
        </xdr:nvSpPr>
        <xdr:spPr>
          <a:xfrm>
            <a:off x="133351" y="104775"/>
            <a:ext cx="11582400" cy="76552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pic>
        <xdr:nvPicPr>
          <xdr:cNvPr id="15" name="Immagine 14">
            <a:extLst>
              <a:ext uri="{FF2B5EF4-FFF2-40B4-BE49-F238E27FC236}">
                <a16:creationId xmlns:a16="http://schemas.microsoft.com/office/drawing/2014/main" id="{00000000-0008-0000-15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28600"/>
            <a:ext cx="1344709" cy="462961"/>
          </a:xfrm>
          <a:prstGeom prst="rect">
            <a:avLst/>
          </a:prstGeom>
        </xdr:spPr>
      </xdr:pic>
      <xdr:pic>
        <xdr:nvPicPr>
          <xdr:cNvPr id="16" name="Elemento grafico 15" descr="Elenco">
            <a:hlinkClick xmlns:r="http://schemas.openxmlformats.org/officeDocument/2006/relationships" r:id="rId2"/>
            <a:extLst>
              <a:ext uri="{FF2B5EF4-FFF2-40B4-BE49-F238E27FC236}">
                <a16:creationId xmlns:a16="http://schemas.microsoft.com/office/drawing/2014/main" id="{00000000-0008-0000-1500-000010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91851" y="209550"/>
            <a:ext cx="514350" cy="520830"/>
          </a:xfrm>
          <a:prstGeom prst="rect">
            <a:avLst/>
          </a:prstGeom>
        </xdr:spPr>
      </xdr:pic>
      <xdr:sp macro="" textlink="">
        <xdr:nvSpPr>
          <xdr:cNvPr id="17" name="CasellaDiTesto 16">
            <a:extLst>
              <a:ext uri="{FF2B5EF4-FFF2-40B4-BE49-F238E27FC236}">
                <a16:creationId xmlns:a16="http://schemas.microsoft.com/office/drawing/2014/main" id="{00000000-0008-0000-1500-000011000000}"/>
              </a:ext>
            </a:extLst>
          </xdr:cNvPr>
          <xdr:cNvSpPr txBox="1"/>
        </xdr:nvSpPr>
        <xdr:spPr>
          <a:xfrm>
            <a:off x="4056665" y="200025"/>
            <a:ext cx="3743679" cy="607636"/>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2800" b="1" u="none">
                <a:solidFill>
                  <a:schemeClr val="tx2"/>
                </a:solidFill>
                <a:latin typeface="Arial" panose="020B0604020202020204" pitchFamily="34" charset="0"/>
                <a:cs typeface="Arial" panose="020B0604020202020204" pitchFamily="34" charset="0"/>
              </a:rPr>
              <a:t>Plants</a:t>
            </a:r>
            <a:r>
              <a:rPr lang="it-IT" sz="2800" b="1" u="none" baseline="0">
                <a:solidFill>
                  <a:schemeClr val="tx2"/>
                </a:solidFill>
                <a:latin typeface="Arial" panose="020B0604020202020204" pitchFamily="34" charset="0"/>
                <a:cs typeface="Arial" panose="020B0604020202020204" pitchFamily="34" charset="0"/>
              </a:rPr>
              <a:t> </a:t>
            </a:r>
            <a:r>
              <a:rPr lang="it-IT" sz="2800" b="1" u="none">
                <a:solidFill>
                  <a:schemeClr val="tx2"/>
                </a:solidFill>
                <a:latin typeface="Arial" panose="020B0604020202020204" pitchFamily="34" charset="0"/>
                <a:cs typeface="Arial" panose="020B0604020202020204" pitchFamily="34" charset="0"/>
              </a:rPr>
              <a:t>-</a:t>
            </a:r>
            <a:r>
              <a:rPr lang="it-IT" sz="2800" b="1" u="none" baseline="0">
                <a:solidFill>
                  <a:schemeClr val="tx2"/>
                </a:solidFill>
                <a:latin typeface="Arial" panose="020B0604020202020204" pitchFamily="34" charset="0"/>
                <a:cs typeface="Arial" panose="020B0604020202020204" pitchFamily="34" charset="0"/>
              </a:rPr>
              <a:t> Hydroelectric</a:t>
            </a:r>
            <a:endParaRPr lang="it-IT" sz="2800" b="0" u="none">
              <a:solidFill>
                <a:schemeClr val="tx2"/>
              </a:solidFill>
              <a:latin typeface="Arial" panose="020B0604020202020204" pitchFamily="34" charset="0"/>
              <a:cs typeface="Arial" panose="020B0604020202020204" pitchFamily="34" charset="0"/>
            </a:endParaRPr>
          </a:p>
        </xdr:txBody>
      </xdr:sp>
      <xdr:cxnSp macro="">
        <xdr:nvCxnSpPr>
          <xdr:cNvPr id="18" name="Connettore diritto 17">
            <a:extLst>
              <a:ext uri="{FF2B5EF4-FFF2-40B4-BE49-F238E27FC236}">
                <a16:creationId xmlns:a16="http://schemas.microsoft.com/office/drawing/2014/main" id="{00000000-0008-0000-1500-000012000000}"/>
              </a:ext>
            </a:extLst>
          </xdr:cNvPr>
          <xdr:cNvCxnSpPr/>
        </xdr:nvCxnSpPr>
        <xdr:spPr>
          <a:xfrm>
            <a:off x="4113521" y="663105"/>
            <a:ext cx="3265134" cy="1235"/>
          </a:xfrm>
          <a:prstGeom prst="line">
            <a:avLst/>
          </a:prstGeom>
          <a:ln w="25400">
            <a:solidFill>
              <a:schemeClr val="accent3"/>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95250</xdr:colOff>
      <xdr:row>0</xdr:row>
      <xdr:rowOff>95250</xdr:rowOff>
    </xdr:from>
    <xdr:to>
      <xdr:col>9</xdr:col>
      <xdr:colOff>1182461</xdr:colOff>
      <xdr:row>4</xdr:row>
      <xdr:rowOff>115104</xdr:rowOff>
    </xdr:to>
    <xdr:grpSp>
      <xdr:nvGrpSpPr>
        <xdr:cNvPr id="10" name="Gruppo 9">
          <a:extLst>
            <a:ext uri="{FF2B5EF4-FFF2-40B4-BE49-F238E27FC236}">
              <a16:creationId xmlns:a16="http://schemas.microsoft.com/office/drawing/2014/main" id="{00000000-0008-0000-1600-00000A000000}"/>
            </a:ext>
          </a:extLst>
        </xdr:cNvPr>
        <xdr:cNvGrpSpPr/>
      </xdr:nvGrpSpPr>
      <xdr:grpSpPr>
        <a:xfrm>
          <a:off x="95250" y="95250"/>
          <a:ext cx="11640911" cy="781854"/>
          <a:chOff x="133351" y="104775"/>
          <a:chExt cx="11582400" cy="765525"/>
        </a:xfrm>
      </xdr:grpSpPr>
      <xdr:sp macro="" textlink="">
        <xdr:nvSpPr>
          <xdr:cNvPr id="11" name="Rettangolo 10">
            <a:extLst>
              <a:ext uri="{FF2B5EF4-FFF2-40B4-BE49-F238E27FC236}">
                <a16:creationId xmlns:a16="http://schemas.microsoft.com/office/drawing/2014/main" id="{00000000-0008-0000-1600-00000B000000}"/>
              </a:ext>
            </a:extLst>
          </xdr:cNvPr>
          <xdr:cNvSpPr/>
        </xdr:nvSpPr>
        <xdr:spPr>
          <a:xfrm>
            <a:off x="133351" y="104775"/>
            <a:ext cx="11582400" cy="76552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pic>
        <xdr:nvPicPr>
          <xdr:cNvPr id="12" name="Immagine 11">
            <a:extLst>
              <a:ext uri="{FF2B5EF4-FFF2-40B4-BE49-F238E27FC236}">
                <a16:creationId xmlns:a16="http://schemas.microsoft.com/office/drawing/2014/main" id="{00000000-0008-0000-16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28600"/>
            <a:ext cx="1344709" cy="462961"/>
          </a:xfrm>
          <a:prstGeom prst="rect">
            <a:avLst/>
          </a:prstGeom>
        </xdr:spPr>
      </xdr:pic>
      <xdr:pic>
        <xdr:nvPicPr>
          <xdr:cNvPr id="13" name="Elemento grafico 12" descr="Elenco">
            <a:hlinkClick xmlns:r="http://schemas.openxmlformats.org/officeDocument/2006/relationships" r:id="rId2"/>
            <a:extLst>
              <a:ext uri="{FF2B5EF4-FFF2-40B4-BE49-F238E27FC236}">
                <a16:creationId xmlns:a16="http://schemas.microsoft.com/office/drawing/2014/main" id="{00000000-0008-0000-1600-00000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91851" y="209550"/>
            <a:ext cx="514350" cy="520830"/>
          </a:xfrm>
          <a:prstGeom prst="rect">
            <a:avLst/>
          </a:prstGeom>
        </xdr:spPr>
      </xdr:pic>
      <xdr:sp macro="" textlink="">
        <xdr:nvSpPr>
          <xdr:cNvPr id="14" name="CasellaDiTesto 13">
            <a:extLst>
              <a:ext uri="{FF2B5EF4-FFF2-40B4-BE49-F238E27FC236}">
                <a16:creationId xmlns:a16="http://schemas.microsoft.com/office/drawing/2014/main" id="{00000000-0008-0000-1600-00000E000000}"/>
              </a:ext>
            </a:extLst>
          </xdr:cNvPr>
          <xdr:cNvSpPr txBox="1"/>
        </xdr:nvSpPr>
        <xdr:spPr>
          <a:xfrm>
            <a:off x="3639672" y="200025"/>
            <a:ext cx="4568189" cy="607636"/>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2800" b="1" u="none">
                <a:solidFill>
                  <a:schemeClr val="tx2"/>
                </a:solidFill>
                <a:latin typeface="Arial" panose="020B0604020202020204" pitchFamily="34" charset="0"/>
                <a:cs typeface="Arial" panose="020B0604020202020204" pitchFamily="34" charset="0"/>
              </a:rPr>
              <a:t>Plants -</a:t>
            </a:r>
            <a:r>
              <a:rPr lang="it-IT" sz="2800" b="1" u="none" baseline="0">
                <a:solidFill>
                  <a:schemeClr val="tx2"/>
                </a:solidFill>
                <a:latin typeface="Arial" panose="020B0604020202020204" pitchFamily="34" charset="0"/>
                <a:cs typeface="Arial" panose="020B0604020202020204" pitchFamily="34" charset="0"/>
              </a:rPr>
              <a:t> Other Renewables</a:t>
            </a:r>
            <a:endParaRPr lang="it-IT" sz="2800" b="0" u="none">
              <a:solidFill>
                <a:schemeClr val="tx2"/>
              </a:solidFill>
              <a:latin typeface="Arial" panose="020B0604020202020204" pitchFamily="34" charset="0"/>
              <a:cs typeface="Arial" panose="020B0604020202020204" pitchFamily="34" charset="0"/>
            </a:endParaRPr>
          </a:p>
        </xdr:txBody>
      </xdr:sp>
      <xdr:cxnSp macro="">
        <xdr:nvCxnSpPr>
          <xdr:cNvPr id="15" name="Connettore diritto 14">
            <a:extLst>
              <a:ext uri="{FF2B5EF4-FFF2-40B4-BE49-F238E27FC236}">
                <a16:creationId xmlns:a16="http://schemas.microsoft.com/office/drawing/2014/main" id="{00000000-0008-0000-1600-00000F000000}"/>
              </a:ext>
            </a:extLst>
          </xdr:cNvPr>
          <xdr:cNvCxnSpPr/>
        </xdr:nvCxnSpPr>
        <xdr:spPr>
          <a:xfrm>
            <a:off x="3696528" y="663105"/>
            <a:ext cx="4477382" cy="0"/>
          </a:xfrm>
          <a:prstGeom prst="line">
            <a:avLst/>
          </a:prstGeom>
          <a:ln w="25400">
            <a:solidFill>
              <a:schemeClr val="accent3"/>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95250</xdr:colOff>
      <xdr:row>0</xdr:row>
      <xdr:rowOff>95250</xdr:rowOff>
    </xdr:from>
    <xdr:to>
      <xdr:col>12</xdr:col>
      <xdr:colOff>1181100</xdr:colOff>
      <xdr:row>4</xdr:row>
      <xdr:rowOff>153204</xdr:rowOff>
    </xdr:to>
    <xdr:grpSp>
      <xdr:nvGrpSpPr>
        <xdr:cNvPr id="10" name="Gruppo 9">
          <a:extLst>
            <a:ext uri="{FF2B5EF4-FFF2-40B4-BE49-F238E27FC236}">
              <a16:creationId xmlns:a16="http://schemas.microsoft.com/office/drawing/2014/main" id="{00000000-0008-0000-1700-00000A000000}"/>
            </a:ext>
          </a:extLst>
        </xdr:cNvPr>
        <xdr:cNvGrpSpPr/>
      </xdr:nvGrpSpPr>
      <xdr:grpSpPr>
        <a:xfrm>
          <a:off x="95250" y="95250"/>
          <a:ext cx="14230350" cy="781854"/>
          <a:chOff x="133351" y="104775"/>
          <a:chExt cx="11582400" cy="765525"/>
        </a:xfrm>
      </xdr:grpSpPr>
      <xdr:sp macro="" textlink="">
        <xdr:nvSpPr>
          <xdr:cNvPr id="11" name="Rettangolo 10">
            <a:extLst>
              <a:ext uri="{FF2B5EF4-FFF2-40B4-BE49-F238E27FC236}">
                <a16:creationId xmlns:a16="http://schemas.microsoft.com/office/drawing/2014/main" id="{00000000-0008-0000-1700-00000B000000}"/>
              </a:ext>
            </a:extLst>
          </xdr:cNvPr>
          <xdr:cNvSpPr/>
        </xdr:nvSpPr>
        <xdr:spPr>
          <a:xfrm>
            <a:off x="133351" y="104775"/>
            <a:ext cx="11582400" cy="76552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pic>
        <xdr:nvPicPr>
          <xdr:cNvPr id="12" name="Immagine 11">
            <a:extLst>
              <a:ext uri="{FF2B5EF4-FFF2-40B4-BE49-F238E27FC236}">
                <a16:creationId xmlns:a16="http://schemas.microsoft.com/office/drawing/2014/main" id="{00000000-0008-0000-17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28600"/>
            <a:ext cx="1132099" cy="462961"/>
          </a:xfrm>
          <a:prstGeom prst="rect">
            <a:avLst/>
          </a:prstGeom>
        </xdr:spPr>
      </xdr:pic>
      <xdr:pic>
        <xdr:nvPicPr>
          <xdr:cNvPr id="13" name="Elemento grafico 12" descr="Elenco">
            <a:hlinkClick xmlns:r="http://schemas.openxmlformats.org/officeDocument/2006/relationships" r:id="rId2"/>
            <a:extLst>
              <a:ext uri="{FF2B5EF4-FFF2-40B4-BE49-F238E27FC236}">
                <a16:creationId xmlns:a16="http://schemas.microsoft.com/office/drawing/2014/main" id="{00000000-0008-0000-1700-00000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91851" y="209550"/>
            <a:ext cx="514350" cy="520830"/>
          </a:xfrm>
          <a:prstGeom prst="rect">
            <a:avLst/>
          </a:prstGeom>
        </xdr:spPr>
      </xdr:pic>
      <xdr:sp macro="" textlink="">
        <xdr:nvSpPr>
          <xdr:cNvPr id="14" name="CasellaDiTesto 13">
            <a:extLst>
              <a:ext uri="{FF2B5EF4-FFF2-40B4-BE49-F238E27FC236}">
                <a16:creationId xmlns:a16="http://schemas.microsoft.com/office/drawing/2014/main" id="{00000000-0008-0000-1700-00000E000000}"/>
              </a:ext>
            </a:extLst>
          </xdr:cNvPr>
          <xdr:cNvSpPr txBox="1"/>
        </xdr:nvSpPr>
        <xdr:spPr>
          <a:xfrm>
            <a:off x="3706012" y="200025"/>
            <a:ext cx="4444986" cy="607636"/>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2800" b="1" u="none">
                <a:solidFill>
                  <a:schemeClr val="tx2"/>
                </a:solidFill>
                <a:latin typeface="Arial" panose="020B0604020202020204" pitchFamily="34" charset="0"/>
                <a:cs typeface="Arial" panose="020B0604020202020204" pitchFamily="34" charset="0"/>
              </a:rPr>
              <a:t>Plants -</a:t>
            </a:r>
            <a:r>
              <a:rPr lang="it-IT" sz="2800" b="1" u="none" baseline="0">
                <a:solidFill>
                  <a:schemeClr val="tx2"/>
                </a:solidFill>
                <a:latin typeface="Arial" panose="020B0604020202020204" pitchFamily="34" charset="0"/>
                <a:cs typeface="Arial" panose="020B0604020202020204" pitchFamily="34" charset="0"/>
              </a:rPr>
              <a:t> Energy Efficiency</a:t>
            </a:r>
            <a:endParaRPr lang="it-IT" sz="2800" b="0" u="none">
              <a:solidFill>
                <a:schemeClr val="tx2"/>
              </a:solidFill>
              <a:latin typeface="Arial" panose="020B0604020202020204" pitchFamily="34" charset="0"/>
              <a:cs typeface="Arial" panose="020B0604020202020204" pitchFamily="34" charset="0"/>
            </a:endParaRPr>
          </a:p>
        </xdr:txBody>
      </xdr:sp>
      <xdr:cxnSp macro="">
        <xdr:nvCxnSpPr>
          <xdr:cNvPr id="15" name="Connettore diritto 14">
            <a:extLst>
              <a:ext uri="{FF2B5EF4-FFF2-40B4-BE49-F238E27FC236}">
                <a16:creationId xmlns:a16="http://schemas.microsoft.com/office/drawing/2014/main" id="{00000000-0008-0000-1700-00000F000000}"/>
              </a:ext>
            </a:extLst>
          </xdr:cNvPr>
          <xdr:cNvCxnSpPr/>
        </xdr:nvCxnSpPr>
        <xdr:spPr>
          <a:xfrm>
            <a:off x="3762868" y="663105"/>
            <a:ext cx="3626927" cy="1235"/>
          </a:xfrm>
          <a:prstGeom prst="line">
            <a:avLst/>
          </a:prstGeom>
          <a:ln w="25400">
            <a:solidFill>
              <a:schemeClr val="accent3"/>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38099</xdr:colOff>
      <xdr:row>35</xdr:row>
      <xdr:rowOff>178417</xdr:rowOff>
    </xdr:from>
    <xdr:to>
      <xdr:col>11</xdr:col>
      <xdr:colOff>464849</xdr:colOff>
      <xdr:row>58</xdr:row>
      <xdr:rowOff>58675</xdr:rowOff>
    </xdr:to>
    <xdr:grpSp>
      <xdr:nvGrpSpPr>
        <xdr:cNvPr id="111" name="Gruppo 110">
          <a:extLst>
            <a:ext uri="{FF2B5EF4-FFF2-40B4-BE49-F238E27FC236}">
              <a16:creationId xmlns:a16="http://schemas.microsoft.com/office/drawing/2014/main" id="{00000000-0008-0000-0100-00006F000000}"/>
            </a:ext>
          </a:extLst>
        </xdr:cNvPr>
        <xdr:cNvGrpSpPr/>
      </xdr:nvGrpSpPr>
      <xdr:grpSpPr>
        <a:xfrm>
          <a:off x="38099" y="6560167"/>
          <a:ext cx="7380000" cy="4042683"/>
          <a:chOff x="176866" y="6125934"/>
          <a:chExt cx="7380000" cy="4042683"/>
        </a:xfrm>
      </xdr:grpSpPr>
      <xdr:grpSp>
        <xdr:nvGrpSpPr>
          <xdr:cNvPr id="30" name="Gruppo 29">
            <a:extLst>
              <a:ext uri="{FF2B5EF4-FFF2-40B4-BE49-F238E27FC236}">
                <a16:creationId xmlns:a16="http://schemas.microsoft.com/office/drawing/2014/main" id="{00000000-0008-0000-0100-00001E000000}"/>
              </a:ext>
            </a:extLst>
          </xdr:cNvPr>
          <xdr:cNvGrpSpPr/>
        </xdr:nvGrpSpPr>
        <xdr:grpSpPr>
          <a:xfrm>
            <a:off x="176866" y="6125934"/>
            <a:ext cx="7380000" cy="4042683"/>
            <a:chOff x="129266" y="4144735"/>
            <a:chExt cx="7380000" cy="4042683"/>
          </a:xfrm>
        </xdr:grpSpPr>
        <xdr:grpSp>
          <xdr:nvGrpSpPr>
            <xdr:cNvPr id="25" name="Gruppo 24">
              <a:extLst>
                <a:ext uri="{FF2B5EF4-FFF2-40B4-BE49-F238E27FC236}">
                  <a16:creationId xmlns:a16="http://schemas.microsoft.com/office/drawing/2014/main" id="{00000000-0008-0000-0100-000019000000}"/>
                </a:ext>
              </a:extLst>
            </xdr:cNvPr>
            <xdr:cNvGrpSpPr/>
          </xdr:nvGrpSpPr>
          <xdr:grpSpPr>
            <a:xfrm>
              <a:off x="129266" y="4144735"/>
              <a:ext cx="7380000" cy="4042683"/>
              <a:chOff x="129266" y="4411435"/>
              <a:chExt cx="7380000" cy="4033158"/>
            </a:xfrm>
          </xdr:grpSpPr>
          <xdr:grpSp>
            <xdr:nvGrpSpPr>
              <xdr:cNvPr id="22" name="Gruppo 21">
                <a:extLst>
                  <a:ext uri="{FF2B5EF4-FFF2-40B4-BE49-F238E27FC236}">
                    <a16:creationId xmlns:a16="http://schemas.microsoft.com/office/drawing/2014/main" id="{00000000-0008-0000-0100-000016000000}"/>
                  </a:ext>
                </a:extLst>
              </xdr:cNvPr>
              <xdr:cNvGrpSpPr/>
            </xdr:nvGrpSpPr>
            <xdr:grpSpPr>
              <a:xfrm>
                <a:off x="129266" y="4411435"/>
                <a:ext cx="7380000" cy="4033158"/>
                <a:chOff x="110216" y="4411435"/>
                <a:chExt cx="7380000" cy="4033158"/>
              </a:xfrm>
            </xdr:grpSpPr>
            <xdr:sp macro="" textlink="">
              <xdr:nvSpPr>
                <xdr:cNvPr id="37" name="Rettangolo 36">
                  <a:extLst>
                    <a:ext uri="{FF2B5EF4-FFF2-40B4-BE49-F238E27FC236}">
                      <a16:creationId xmlns:a16="http://schemas.microsoft.com/office/drawing/2014/main" id="{00000000-0008-0000-0100-000025000000}"/>
                    </a:ext>
                  </a:extLst>
                </xdr:cNvPr>
                <xdr:cNvSpPr/>
              </xdr:nvSpPr>
              <xdr:spPr>
                <a:xfrm>
                  <a:off x="110216" y="4411435"/>
                  <a:ext cx="7380000" cy="4033158"/>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graphicFrame macro="">
              <xdr:nvGraphicFramePr>
                <xdr:cNvPr id="14" name="GraphDivisions1">
                  <a:extLst>
                    <a:ext uri="{FF2B5EF4-FFF2-40B4-BE49-F238E27FC236}">
                      <a16:creationId xmlns:a16="http://schemas.microsoft.com/office/drawing/2014/main" id="{00000000-0008-0000-0100-00000E000000}"/>
                    </a:ext>
                  </a:extLst>
                </xdr:cNvPr>
                <xdr:cNvGraphicFramePr>
                  <a:graphicFrameLocks/>
                </xdr:cNvGraphicFramePr>
              </xdr:nvGraphicFramePr>
              <xdr:xfrm>
                <a:off x="843642" y="5076871"/>
                <a:ext cx="6153150" cy="2060442"/>
              </xdr:xfrm>
              <a:graphic>
                <a:graphicData uri="http://schemas.openxmlformats.org/drawingml/2006/chart">
                  <c:chart xmlns:c="http://schemas.openxmlformats.org/drawingml/2006/chart" xmlns:r="http://schemas.openxmlformats.org/officeDocument/2006/relationships" r:id="rId1"/>
                </a:graphicData>
              </a:graphic>
            </xdr:graphicFrame>
            <mc:AlternateContent xmlns:mc="http://schemas.openxmlformats.org/markup-compatibility/2006" xmlns:a14="http://schemas.microsoft.com/office/drawing/2010/main">
              <mc:Choice Requires="a14">
                <xdr:graphicFrame macro="">
                  <xdr:nvGraphicFramePr>
                    <xdr:cNvPr id="15" name="Category 1">
                      <a:extLst>
                        <a:ext uri="{FF2B5EF4-FFF2-40B4-BE49-F238E27FC236}">
                          <a16:creationId xmlns:a16="http://schemas.microsoft.com/office/drawing/2014/main" id="{00000000-0008-0000-0100-00000F000000}"/>
                        </a:ext>
                      </a:extLst>
                    </xdr:cNvPr>
                    <xdr:cNvGraphicFramePr/>
                  </xdr:nvGraphicFramePr>
                  <xdr:xfrm>
                    <a:off x="1884107" y="7867400"/>
                    <a:ext cx="3821393" cy="562261"/>
                  </xdr:xfrm>
                  <a:graphic>
                    <a:graphicData uri="http://schemas.microsoft.com/office/drawing/2010/slicer">
                      <sle:slicer xmlns:sle="http://schemas.microsoft.com/office/drawing/2010/slicer" name="Category 1"/>
                    </a:graphicData>
                  </a:graphic>
                </xdr:graphicFrame>
              </mc:Choice>
              <mc:Fallback xmlns="">
                <xdr:sp macro="" textlink="">
                  <xdr:nvSpPr>
                    <xdr:cNvPr id="0" name=""/>
                    <xdr:cNvSpPr>
                      <a:spLocks noTextEdit="1"/>
                    </xdr:cNvSpPr>
                  </xdr:nvSpPr>
                  <xdr:spPr>
                    <a:xfrm>
                      <a:off x="1811990" y="10024294"/>
                      <a:ext cx="3821393" cy="563589"/>
                    </a:xfrm>
                    <a:prstGeom prst="rect">
                      <a:avLst/>
                    </a:prstGeom>
                    <a:solidFill>
                      <a:prstClr val="white"/>
                    </a:solidFill>
                    <a:ln w="1">
                      <a:solidFill>
                        <a:prstClr val="green"/>
                      </a:solidFill>
                    </a:ln>
                  </xdr:spPr>
                  <xdr:txBody>
                    <a:bodyPr vertOverflow="clip" horzOverflow="clip"/>
                    <a:lstStyle/>
                    <a:p>
                      <a:r>
                        <a:rPr lang="it-IT" sz="1100"/>
                        <a:t>Questa forma rappresenta un filtro dei dati. I filtri dei dati sono supportati in Excel 2010 o versione successiva.
Se la forma è stata modificata in una versione precedente di Excel o se la cartella di lavoro è stata salvata in Excel 2003 o versioni precedenti, non è possibile usare il filtro dei dati.</a:t>
                      </a:r>
                    </a:p>
                  </xdr:txBody>
                </xdr:sp>
              </mc:Fallback>
            </mc:AlternateContent>
            <mc:AlternateContent xmlns:mc="http://schemas.openxmlformats.org/markup-compatibility/2006" xmlns:a14="http://schemas.microsoft.com/office/drawing/2010/main">
              <mc:Choice Requires="a14">
                <xdr:graphicFrame macro="">
                  <xdr:nvGraphicFramePr>
                    <xdr:cNvPr id="6" name="Year 2">
                      <a:extLst>
                        <a:ext uri="{FF2B5EF4-FFF2-40B4-BE49-F238E27FC236}">
                          <a16:creationId xmlns:a16="http://schemas.microsoft.com/office/drawing/2014/main" id="{00000000-0008-0000-0100-000006000000}"/>
                        </a:ext>
                      </a:extLst>
                    </xdr:cNvPr>
                    <xdr:cNvGraphicFramePr/>
                  </xdr:nvGraphicFramePr>
                  <xdr:xfrm>
                    <a:off x="1905023" y="7382233"/>
                    <a:ext cx="3824943" cy="553294"/>
                  </xdr:xfrm>
                  <a:graphic>
                    <a:graphicData uri="http://schemas.microsoft.com/office/drawing/2010/slicer">
                      <sle:slicer xmlns:sle="http://schemas.microsoft.com/office/drawing/2010/slicer" name="Year 2"/>
                    </a:graphicData>
                  </a:graphic>
                </xdr:graphicFrame>
              </mc:Choice>
              <mc:Fallback xmlns="">
                <xdr:sp macro="" textlink="">
                  <xdr:nvSpPr>
                    <xdr:cNvPr id="0" name=""/>
                    <xdr:cNvSpPr>
                      <a:spLocks noTextEdit="1"/>
                    </xdr:cNvSpPr>
                  </xdr:nvSpPr>
                  <xdr:spPr>
                    <a:xfrm>
                      <a:off x="1832906" y="9537981"/>
                      <a:ext cx="3824943" cy="554601"/>
                    </a:xfrm>
                    <a:prstGeom prst="rect">
                      <a:avLst/>
                    </a:prstGeom>
                    <a:solidFill>
                      <a:prstClr val="white"/>
                    </a:solidFill>
                    <a:ln w="1">
                      <a:solidFill>
                        <a:prstClr val="green"/>
                      </a:solidFill>
                    </a:ln>
                  </xdr:spPr>
                  <xdr:txBody>
                    <a:bodyPr vertOverflow="clip" horzOverflow="clip"/>
                    <a:lstStyle/>
                    <a:p>
                      <a:r>
                        <a:rPr lang="it-IT" sz="1100"/>
                        <a:t>Questa forma rappresenta un filtro dei dati. I filtri dei dati sono supportati in Excel 2010 o versione successiva.
Se la forma è stata modificata in una versione precedente di Excel o se la cartella di lavoro è stata salvata in Excel 2003 o versioni precedenti, non è possibile usare il filtro dei dati.</a:t>
                      </a:r>
                    </a:p>
                  </xdr:txBody>
                </xdr:sp>
              </mc:Fallback>
            </mc:AlternateContent>
          </xdr:grpSp>
          <xdr:sp macro="" textlink="">
            <xdr:nvSpPr>
              <xdr:cNvPr id="39" name="CasellaDiTesto 38">
                <a:extLst>
                  <a:ext uri="{FF2B5EF4-FFF2-40B4-BE49-F238E27FC236}">
                    <a16:creationId xmlns:a16="http://schemas.microsoft.com/office/drawing/2014/main" id="{00000000-0008-0000-0100-000027000000}"/>
                  </a:ext>
                </a:extLst>
              </xdr:cNvPr>
              <xdr:cNvSpPr txBox="1"/>
            </xdr:nvSpPr>
            <xdr:spPr>
              <a:xfrm>
                <a:off x="2143124" y="4495800"/>
                <a:ext cx="3352825" cy="405432"/>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1800" b="1">
                    <a:solidFill>
                      <a:schemeClr val="bg2">
                        <a:lumMod val="75000"/>
                      </a:schemeClr>
                    </a:solidFill>
                    <a:latin typeface="Arial" panose="020B0604020202020204" pitchFamily="34" charset="0"/>
                    <a:cs typeface="Arial" panose="020B0604020202020204" pitchFamily="34" charset="0"/>
                  </a:rPr>
                  <a:t>Divisions Highlights</a:t>
                </a:r>
                <a:r>
                  <a:rPr lang="it-IT" sz="1800" b="1" baseline="0">
                    <a:solidFill>
                      <a:schemeClr val="bg2">
                        <a:lumMod val="75000"/>
                      </a:schemeClr>
                    </a:solidFill>
                    <a:latin typeface="Arial" panose="020B0604020202020204" pitchFamily="34" charset="0"/>
                    <a:cs typeface="Arial" panose="020B0604020202020204" pitchFamily="34" charset="0"/>
                  </a:rPr>
                  <a:t> </a:t>
                </a:r>
                <a:r>
                  <a:rPr lang="it-IT" sz="1200" b="0" baseline="0">
                    <a:solidFill>
                      <a:schemeClr val="bg2">
                        <a:lumMod val="75000"/>
                      </a:schemeClr>
                    </a:solidFill>
                    <a:latin typeface="Arial" panose="020B0604020202020204" pitchFamily="34" charset="0"/>
                    <a:cs typeface="Arial" panose="020B0604020202020204" pitchFamily="34" charset="0"/>
                  </a:rPr>
                  <a:t>(bln€)</a:t>
                </a:r>
                <a:endParaRPr lang="it-IT" sz="1800" b="0">
                  <a:solidFill>
                    <a:schemeClr val="bg2">
                      <a:lumMod val="75000"/>
                    </a:schemeClr>
                  </a:solidFill>
                  <a:latin typeface="Arial" panose="020B0604020202020204" pitchFamily="34" charset="0"/>
                  <a:cs typeface="Arial" panose="020B0604020202020204" pitchFamily="34" charset="0"/>
                </a:endParaRPr>
              </a:p>
            </xdr:txBody>
          </xdr:sp>
          <xdr:cxnSp macro="">
            <xdr:nvCxnSpPr>
              <xdr:cNvPr id="40" name="Connettore diritto 39">
                <a:extLst>
                  <a:ext uri="{FF2B5EF4-FFF2-40B4-BE49-F238E27FC236}">
                    <a16:creationId xmlns:a16="http://schemas.microsoft.com/office/drawing/2014/main" id="{00000000-0008-0000-0100-000028000000}"/>
                  </a:ext>
                </a:extLst>
              </xdr:cNvPr>
              <xdr:cNvCxnSpPr/>
            </xdr:nvCxnSpPr>
            <xdr:spPr>
              <a:xfrm>
                <a:off x="2241096" y="4848224"/>
                <a:ext cx="2628000" cy="0"/>
              </a:xfrm>
              <a:prstGeom prst="line">
                <a:avLst/>
              </a:prstGeom>
              <a:ln w="25400">
                <a:solidFill>
                  <a:schemeClr val="accent3"/>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9" name="CasellaDiTesto 48">
              <a:extLst>
                <a:ext uri="{FF2B5EF4-FFF2-40B4-BE49-F238E27FC236}">
                  <a16:creationId xmlns:a16="http://schemas.microsoft.com/office/drawing/2014/main" id="{00000000-0008-0000-0100-000031000000}"/>
                </a:ext>
              </a:extLst>
            </xdr:cNvPr>
            <xdr:cNvSpPr txBox="1"/>
          </xdr:nvSpPr>
          <xdr:spPr>
            <a:xfrm>
              <a:off x="1891365" y="6934200"/>
              <a:ext cx="3814135" cy="253955"/>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1100" b="1">
                  <a:solidFill>
                    <a:schemeClr val="bg2">
                      <a:lumMod val="75000"/>
                    </a:schemeClr>
                  </a:solidFill>
                  <a:latin typeface="Arial" panose="020B0604020202020204" pitchFamily="34" charset="0"/>
                  <a:cs typeface="Arial" panose="020B0604020202020204" pitchFamily="34" charset="0"/>
                </a:rPr>
                <a:t>Filters</a:t>
              </a:r>
            </a:p>
          </xdr:txBody>
        </xdr:sp>
        <xdr:pic>
          <xdr:nvPicPr>
            <xdr:cNvPr id="48" name="Immagine 47" descr="Risultati immagini per filter png">
              <a:extLst>
                <a:ext uri="{FF2B5EF4-FFF2-40B4-BE49-F238E27FC236}">
                  <a16:creationId xmlns:a16="http://schemas.microsoft.com/office/drawing/2014/main" id="{00000000-0008-0000-0100-000030000000}"/>
                </a:ext>
              </a:extLst>
            </xdr:cNvPr>
            <xdr:cNvPicPr>
              <a:picLocks noChangeAspect="1" noChangeArrowheads="1"/>
            </xdr:cNvPicPr>
          </xdr:nvPicPr>
          <xdr:blipFill>
            <a:blip xmlns:r="http://schemas.openxmlformats.org/officeDocument/2006/relationships" r:embed="rId2"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2415241" y="6962706"/>
              <a:ext cx="190500" cy="190050"/>
            </a:xfrm>
            <a:prstGeom prst="rect">
              <a:avLst/>
            </a:prstGeom>
            <a:solidFill>
              <a:schemeClr val="bg1">
                <a:lumMod val="95000"/>
              </a:schemeClr>
            </a:solidFill>
            <a:extLst/>
          </xdr:spPr>
        </xdr:pic>
      </xdr:grpSp>
      <xdr:cxnSp macro="">
        <xdr:nvCxnSpPr>
          <xdr:cNvPr id="76" name="Connettore diritto 75">
            <a:extLst>
              <a:ext uri="{FF2B5EF4-FFF2-40B4-BE49-F238E27FC236}">
                <a16:creationId xmlns:a16="http://schemas.microsoft.com/office/drawing/2014/main" id="{00000000-0008-0000-0100-00004C000000}"/>
              </a:ext>
            </a:extLst>
          </xdr:cNvPr>
          <xdr:cNvCxnSpPr/>
        </xdr:nvCxnSpPr>
        <xdr:spPr>
          <a:xfrm flipV="1">
            <a:off x="2047874" y="9620249"/>
            <a:ext cx="3600000" cy="1"/>
          </a:xfrm>
          <a:prstGeom prst="line">
            <a:avLst/>
          </a:prstGeom>
          <a:ln>
            <a:solidFill>
              <a:schemeClr val="bg2"/>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421215</xdr:colOff>
      <xdr:row>9</xdr:row>
      <xdr:rowOff>123823</xdr:rowOff>
    </xdr:from>
    <xdr:to>
      <xdr:col>23</xdr:col>
      <xdr:colOff>552689</xdr:colOff>
      <xdr:row>35</xdr:row>
      <xdr:rowOff>166123</xdr:rowOff>
    </xdr:to>
    <xdr:grpSp>
      <xdr:nvGrpSpPr>
        <xdr:cNvPr id="81" name="Gruppo 80">
          <a:extLst>
            <a:ext uri="{FF2B5EF4-FFF2-40B4-BE49-F238E27FC236}">
              <a16:creationId xmlns:a16="http://schemas.microsoft.com/office/drawing/2014/main" id="{00000000-0008-0000-0100-000051000000}"/>
            </a:ext>
          </a:extLst>
        </xdr:cNvPr>
        <xdr:cNvGrpSpPr/>
      </xdr:nvGrpSpPr>
      <xdr:grpSpPr>
        <a:xfrm>
          <a:off x="7374465" y="1781173"/>
          <a:ext cx="7446674" cy="4766700"/>
          <a:chOff x="11353801" y="1962149"/>
          <a:chExt cx="7446674" cy="4042800"/>
        </a:xfrm>
      </xdr:grpSpPr>
      <xdr:sp macro="" textlink="">
        <xdr:nvSpPr>
          <xdr:cNvPr id="44" name="Rettangolo 43">
            <a:extLst>
              <a:ext uri="{FF2B5EF4-FFF2-40B4-BE49-F238E27FC236}">
                <a16:creationId xmlns:a16="http://schemas.microsoft.com/office/drawing/2014/main" id="{00000000-0008-0000-0100-00002C000000}"/>
              </a:ext>
            </a:extLst>
          </xdr:cNvPr>
          <xdr:cNvSpPr/>
        </xdr:nvSpPr>
        <xdr:spPr>
          <a:xfrm>
            <a:off x="11420475" y="1962149"/>
            <a:ext cx="7380000" cy="40428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graphicFrame macro="">
        <xdr:nvGraphicFramePr>
          <xdr:cNvPr id="17" name="GraphVolumesPower">
            <a:extLst>
              <a:ext uri="{FF2B5EF4-FFF2-40B4-BE49-F238E27FC236}">
                <a16:creationId xmlns:a16="http://schemas.microsoft.com/office/drawing/2014/main" id="{00000000-0008-0000-0100-000011000000}"/>
              </a:ext>
            </a:extLst>
          </xdr:cNvPr>
          <xdr:cNvGraphicFramePr>
            <a:graphicFrameLocks/>
          </xdr:cNvGraphicFramePr>
        </xdr:nvGraphicFramePr>
        <xdr:xfrm>
          <a:off x="15144750" y="2676524"/>
          <a:ext cx="3495675" cy="2324101"/>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9" name="GraphVolumesGas">
            <a:extLst>
              <a:ext uri="{FF2B5EF4-FFF2-40B4-BE49-F238E27FC236}">
                <a16:creationId xmlns:a16="http://schemas.microsoft.com/office/drawing/2014/main" id="{00000000-0008-0000-0100-000013000000}"/>
              </a:ext>
            </a:extLst>
          </xdr:cNvPr>
          <xdr:cNvGraphicFramePr>
            <a:graphicFrameLocks/>
          </xdr:cNvGraphicFramePr>
        </xdr:nvGraphicFramePr>
        <xdr:xfrm>
          <a:off x="11353801" y="2676525"/>
          <a:ext cx="3486150" cy="2324100"/>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46" name="CasellaDiTesto 45">
            <a:extLst>
              <a:ext uri="{FF2B5EF4-FFF2-40B4-BE49-F238E27FC236}">
                <a16:creationId xmlns:a16="http://schemas.microsoft.com/office/drawing/2014/main" id="{00000000-0008-0000-0100-00002E000000}"/>
              </a:ext>
            </a:extLst>
          </xdr:cNvPr>
          <xdr:cNvSpPr txBox="1"/>
        </xdr:nvSpPr>
        <xdr:spPr>
          <a:xfrm>
            <a:off x="14563725" y="1981200"/>
            <a:ext cx="1095375" cy="406389"/>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1800" b="1">
                <a:solidFill>
                  <a:schemeClr val="bg2">
                    <a:lumMod val="75000"/>
                  </a:schemeClr>
                </a:solidFill>
                <a:latin typeface="Arial" panose="020B0604020202020204" pitchFamily="34" charset="0"/>
                <a:cs typeface="Arial" panose="020B0604020202020204" pitchFamily="34" charset="0"/>
              </a:rPr>
              <a:t>Volumes </a:t>
            </a:r>
            <a:endParaRPr lang="it-IT" sz="1800" b="0">
              <a:solidFill>
                <a:schemeClr val="bg2">
                  <a:lumMod val="75000"/>
                </a:schemeClr>
              </a:solidFill>
              <a:latin typeface="Arial" panose="020B0604020202020204" pitchFamily="34" charset="0"/>
              <a:cs typeface="Arial" panose="020B0604020202020204" pitchFamily="34" charset="0"/>
            </a:endParaRPr>
          </a:p>
        </xdr:txBody>
      </xdr:sp>
      <xdr:cxnSp macro="">
        <xdr:nvCxnSpPr>
          <xdr:cNvPr id="47" name="Connettore diritto 46">
            <a:extLst>
              <a:ext uri="{FF2B5EF4-FFF2-40B4-BE49-F238E27FC236}">
                <a16:creationId xmlns:a16="http://schemas.microsoft.com/office/drawing/2014/main" id="{00000000-0008-0000-0100-00002F000000}"/>
              </a:ext>
            </a:extLst>
          </xdr:cNvPr>
          <xdr:cNvCxnSpPr/>
        </xdr:nvCxnSpPr>
        <xdr:spPr>
          <a:xfrm>
            <a:off x="14623596" y="2334457"/>
            <a:ext cx="1008000" cy="0"/>
          </a:xfrm>
          <a:prstGeom prst="line">
            <a:avLst/>
          </a:prstGeom>
          <a:ln w="28575">
            <a:solidFill>
              <a:schemeClr val="accent2"/>
            </a:solidFill>
          </a:ln>
        </xdr:spPr>
        <xdr:style>
          <a:lnRef idx="1">
            <a:schemeClr val="accent1"/>
          </a:lnRef>
          <a:fillRef idx="0">
            <a:schemeClr val="accent1"/>
          </a:fillRef>
          <a:effectRef idx="0">
            <a:schemeClr val="accent1"/>
          </a:effectRef>
          <a:fontRef idx="minor">
            <a:schemeClr val="tx1"/>
          </a:fontRef>
        </xdr:style>
      </xdr:cxnSp>
      <xdr:grpSp>
        <xdr:nvGrpSpPr>
          <xdr:cNvPr id="59" name="Gruppo 58">
            <a:extLst>
              <a:ext uri="{FF2B5EF4-FFF2-40B4-BE49-F238E27FC236}">
                <a16:creationId xmlns:a16="http://schemas.microsoft.com/office/drawing/2014/main" id="{00000000-0008-0000-0100-00003B000000}"/>
              </a:ext>
            </a:extLst>
          </xdr:cNvPr>
          <xdr:cNvGrpSpPr/>
        </xdr:nvGrpSpPr>
        <xdr:grpSpPr>
          <a:xfrm>
            <a:off x="15944288" y="5067300"/>
            <a:ext cx="2134163" cy="876300"/>
            <a:chOff x="6990788" y="3190875"/>
            <a:chExt cx="2134163" cy="876300"/>
          </a:xfrm>
        </xdr:grpSpPr>
        <xdr:grpSp>
          <xdr:nvGrpSpPr>
            <xdr:cNvPr id="52" name="Gruppo 51">
              <a:extLst>
                <a:ext uri="{FF2B5EF4-FFF2-40B4-BE49-F238E27FC236}">
                  <a16:creationId xmlns:a16="http://schemas.microsoft.com/office/drawing/2014/main" id="{00000000-0008-0000-0100-000034000000}"/>
                </a:ext>
              </a:extLst>
            </xdr:cNvPr>
            <xdr:cNvGrpSpPr/>
          </xdr:nvGrpSpPr>
          <xdr:grpSpPr>
            <a:xfrm>
              <a:off x="6990788" y="3362325"/>
              <a:ext cx="2134163" cy="704850"/>
              <a:chOff x="7114613" y="3362325"/>
              <a:chExt cx="2134163" cy="704850"/>
            </a:xfrm>
          </xdr:grpSpPr>
          <mc:AlternateContent xmlns:mc="http://schemas.openxmlformats.org/markup-compatibility/2006" xmlns:a14="http://schemas.microsoft.com/office/drawing/2010/main">
            <mc:Choice Requires="a14">
              <xdr:graphicFrame macro="">
                <xdr:nvGraphicFramePr>
                  <xdr:cNvPr id="18" name="Category 3">
                    <a:extLst>
                      <a:ext uri="{FF2B5EF4-FFF2-40B4-BE49-F238E27FC236}">
                        <a16:creationId xmlns:a16="http://schemas.microsoft.com/office/drawing/2014/main" id="{00000000-0008-0000-0100-000012000000}"/>
                      </a:ext>
                    </a:extLst>
                  </xdr:cNvPr>
                  <xdr:cNvGraphicFramePr/>
                </xdr:nvGraphicFramePr>
                <xdr:xfrm>
                  <a:off x="7114613" y="3370729"/>
                  <a:ext cx="838762" cy="696446"/>
                </xdr:xfrm>
                <a:graphic>
                  <a:graphicData uri="http://schemas.microsoft.com/office/drawing/2010/slicer">
                    <sle:slicer xmlns:sle="http://schemas.microsoft.com/office/drawing/2010/slicer" name="Category 3"/>
                  </a:graphicData>
                </a:graphic>
              </xdr:graphicFrame>
            </mc:Choice>
            <mc:Fallback xmlns="">
              <xdr:sp macro="" textlink="">
                <xdr:nvSpPr>
                  <xdr:cNvPr id="0" name=""/>
                  <xdr:cNvSpPr>
                    <a:spLocks noTextEdit="1"/>
                  </xdr:cNvSpPr>
                </xdr:nvSpPr>
                <xdr:spPr>
                  <a:xfrm>
                    <a:off x="11964952" y="5066178"/>
                    <a:ext cx="838762" cy="696446"/>
                  </a:xfrm>
                  <a:prstGeom prst="rect">
                    <a:avLst/>
                  </a:prstGeom>
                  <a:solidFill>
                    <a:prstClr val="white"/>
                  </a:solidFill>
                  <a:ln w="1">
                    <a:solidFill>
                      <a:prstClr val="green"/>
                    </a:solidFill>
                  </a:ln>
                </xdr:spPr>
                <xdr:txBody>
                  <a:bodyPr vertOverflow="clip" horzOverflow="clip"/>
                  <a:lstStyle/>
                  <a:p>
                    <a:r>
                      <a:rPr lang="it-IT" sz="1100"/>
                      <a:t>Questa forma rappresenta un filtro dei dati. I filtri dei dati sono supportati in Excel 2010 o versione successiva.
Se la forma è stata modificata in una versione precedente di Excel o se la cartella di lavoro è stata salvata in Excel 2003 o versioni precedenti, non è possibile usare il filtro dei dati.</a:t>
                    </a:r>
                  </a:p>
                </xdr:txBody>
              </xdr:sp>
            </mc:Fallback>
          </mc:AlternateContent>
          <mc:AlternateContent xmlns:mc="http://schemas.openxmlformats.org/markup-compatibility/2006" xmlns:a14="http://schemas.microsoft.com/office/drawing/2010/main">
            <mc:Choice Requires="a14">
              <xdr:graphicFrame macro="">
                <xdr:nvGraphicFramePr>
                  <xdr:cNvPr id="23" name="Year 3">
                    <a:extLst>
                      <a:ext uri="{FF2B5EF4-FFF2-40B4-BE49-F238E27FC236}">
                        <a16:creationId xmlns:a16="http://schemas.microsoft.com/office/drawing/2014/main" id="{00000000-0008-0000-0100-000017000000}"/>
                      </a:ext>
                    </a:extLst>
                  </xdr:cNvPr>
                  <xdr:cNvGraphicFramePr/>
                </xdr:nvGraphicFramePr>
                <xdr:xfrm>
                  <a:off x="7893970" y="3362325"/>
                  <a:ext cx="1354806" cy="704850"/>
                </xdr:xfrm>
                <a:graphic>
                  <a:graphicData uri="http://schemas.microsoft.com/office/drawing/2010/slicer">
                    <sle:slicer xmlns:sle="http://schemas.microsoft.com/office/drawing/2010/slicer" name="Year 3"/>
                  </a:graphicData>
                </a:graphic>
              </xdr:graphicFrame>
            </mc:Choice>
            <mc:Fallback xmlns="">
              <xdr:sp macro="" textlink="">
                <xdr:nvSpPr>
                  <xdr:cNvPr id="0" name=""/>
                  <xdr:cNvSpPr>
                    <a:spLocks noTextEdit="1"/>
                  </xdr:cNvSpPr>
                </xdr:nvSpPr>
                <xdr:spPr>
                  <a:xfrm>
                    <a:off x="12744309" y="5057774"/>
                    <a:ext cx="1354806" cy="704850"/>
                  </a:xfrm>
                  <a:prstGeom prst="rect">
                    <a:avLst/>
                  </a:prstGeom>
                  <a:solidFill>
                    <a:prstClr val="white"/>
                  </a:solidFill>
                  <a:ln w="1">
                    <a:solidFill>
                      <a:prstClr val="green"/>
                    </a:solidFill>
                  </a:ln>
                </xdr:spPr>
                <xdr:txBody>
                  <a:bodyPr vertOverflow="clip" horzOverflow="clip"/>
                  <a:lstStyle/>
                  <a:p>
                    <a:r>
                      <a:rPr lang="it-IT" sz="1100"/>
                      <a:t>Questa forma rappresenta un filtro dei dati. I filtri dei dati sono supportati in Excel 2010 o versione successiva.
Se la forma è stata modificata in una versione precedente di Excel o se la cartella di lavoro è stata salvata in Excel 2003 o versioni precedenti, non è possibile usare il filtro dei dati.</a:t>
                    </a:r>
                  </a:p>
                </xdr:txBody>
              </xdr:sp>
            </mc:Fallback>
          </mc:AlternateContent>
          <xdr:cxnSp macro="">
            <xdr:nvCxnSpPr>
              <xdr:cNvPr id="51" name="Connettore diritto 50">
                <a:extLst>
                  <a:ext uri="{FF2B5EF4-FFF2-40B4-BE49-F238E27FC236}">
                    <a16:creationId xmlns:a16="http://schemas.microsoft.com/office/drawing/2014/main" id="{00000000-0008-0000-0100-000033000000}"/>
                  </a:ext>
                </a:extLst>
              </xdr:cNvPr>
              <xdr:cNvCxnSpPr/>
            </xdr:nvCxnSpPr>
            <xdr:spPr>
              <a:xfrm rot="5400000" flipV="1">
                <a:off x="7718070" y="3645257"/>
                <a:ext cx="396000" cy="1"/>
              </a:xfrm>
              <a:prstGeom prst="line">
                <a:avLst/>
              </a:prstGeom>
              <a:ln>
                <a:solidFill>
                  <a:schemeClr val="bg2"/>
                </a:solidFill>
              </a:ln>
            </xdr:spPr>
            <xdr:style>
              <a:lnRef idx="1">
                <a:schemeClr val="accent1"/>
              </a:lnRef>
              <a:fillRef idx="0">
                <a:schemeClr val="accent1"/>
              </a:fillRef>
              <a:effectRef idx="0">
                <a:schemeClr val="accent1"/>
              </a:effectRef>
              <a:fontRef idx="minor">
                <a:schemeClr val="tx1"/>
              </a:fontRef>
            </xdr:style>
          </xdr:cxnSp>
        </xdr:grpSp>
        <xdr:pic>
          <xdr:nvPicPr>
            <xdr:cNvPr id="54" name="Immagine 53" descr="Risultati immagini per filter png">
              <a:extLst>
                <a:ext uri="{FF2B5EF4-FFF2-40B4-BE49-F238E27FC236}">
                  <a16:creationId xmlns:a16="http://schemas.microsoft.com/office/drawing/2014/main" id="{00000000-0008-0000-0100-000036000000}"/>
                </a:ext>
              </a:extLst>
            </xdr:cNvPr>
            <xdr:cNvPicPr>
              <a:picLocks noChangeAspect="1" noChangeArrowheads="1"/>
            </xdr:cNvPicPr>
          </xdr:nvPicPr>
          <xdr:blipFill>
            <a:blip xmlns:r="http://schemas.openxmlformats.org/officeDocument/2006/relationships" r:embed="rId2"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7077075" y="3219381"/>
              <a:ext cx="190500" cy="1900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5" name="CasellaDiTesto 54">
              <a:extLst>
                <a:ext uri="{FF2B5EF4-FFF2-40B4-BE49-F238E27FC236}">
                  <a16:creationId xmlns:a16="http://schemas.microsoft.com/office/drawing/2014/main" id="{00000000-0008-0000-0100-000037000000}"/>
                </a:ext>
              </a:extLst>
            </xdr:cNvPr>
            <xdr:cNvSpPr txBox="1"/>
          </xdr:nvSpPr>
          <xdr:spPr>
            <a:xfrm>
              <a:off x="7200899" y="3190875"/>
              <a:ext cx="608052" cy="253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1100" b="1">
                  <a:solidFill>
                    <a:schemeClr val="bg2">
                      <a:lumMod val="75000"/>
                    </a:schemeClr>
                  </a:solidFill>
                  <a:latin typeface="Arial" panose="020B0604020202020204" pitchFamily="34" charset="0"/>
                  <a:cs typeface="Arial" panose="020B0604020202020204" pitchFamily="34" charset="0"/>
                </a:rPr>
                <a:t>Filters</a:t>
              </a:r>
            </a:p>
          </xdr:txBody>
        </xdr:sp>
      </xdr:grpSp>
      <xdr:grpSp>
        <xdr:nvGrpSpPr>
          <xdr:cNvPr id="58" name="Gruppo 57">
            <a:extLst>
              <a:ext uri="{FF2B5EF4-FFF2-40B4-BE49-F238E27FC236}">
                <a16:creationId xmlns:a16="http://schemas.microsoft.com/office/drawing/2014/main" id="{00000000-0008-0000-0100-00003A000000}"/>
              </a:ext>
            </a:extLst>
          </xdr:cNvPr>
          <xdr:cNvGrpSpPr/>
        </xdr:nvGrpSpPr>
        <xdr:grpSpPr>
          <a:xfrm>
            <a:off x="12083303" y="5048250"/>
            <a:ext cx="2151966" cy="762000"/>
            <a:chOff x="10645028" y="3171825"/>
            <a:chExt cx="2151966" cy="762000"/>
          </a:xfrm>
        </xdr:grpSpPr>
        <mc:AlternateContent xmlns:mc="http://schemas.openxmlformats.org/markup-compatibility/2006" xmlns:a14="http://schemas.microsoft.com/office/drawing/2010/main">
          <mc:Choice Requires="a14">
            <xdr:graphicFrame macro="">
              <xdr:nvGraphicFramePr>
                <xdr:cNvPr id="20" name="Category 2">
                  <a:extLst>
                    <a:ext uri="{FF2B5EF4-FFF2-40B4-BE49-F238E27FC236}">
                      <a16:creationId xmlns:a16="http://schemas.microsoft.com/office/drawing/2014/main" id="{00000000-0008-0000-0100-000014000000}"/>
                    </a:ext>
                  </a:extLst>
                </xdr:cNvPr>
                <xdr:cNvGraphicFramePr/>
              </xdr:nvGraphicFramePr>
              <xdr:xfrm>
                <a:off x="10645028" y="3347758"/>
                <a:ext cx="855258" cy="576541"/>
              </xdr:xfrm>
              <a:graphic>
                <a:graphicData uri="http://schemas.microsoft.com/office/drawing/2010/slicer">
                  <sle:slicer xmlns:sle="http://schemas.microsoft.com/office/drawing/2010/slicer" name="Category 2"/>
                </a:graphicData>
              </a:graphic>
            </xdr:graphicFrame>
          </mc:Choice>
          <mc:Fallback xmlns="">
            <xdr:sp macro="" textlink="">
              <xdr:nvSpPr>
                <xdr:cNvPr id="0" name=""/>
                <xdr:cNvSpPr>
                  <a:spLocks noTextEdit="1"/>
                </xdr:cNvSpPr>
              </xdr:nvSpPr>
              <xdr:spPr>
                <a:xfrm>
                  <a:off x="8103967" y="5043207"/>
                  <a:ext cx="855258" cy="576541"/>
                </a:xfrm>
                <a:prstGeom prst="rect">
                  <a:avLst/>
                </a:prstGeom>
                <a:solidFill>
                  <a:prstClr val="white"/>
                </a:solidFill>
                <a:ln w="1">
                  <a:solidFill>
                    <a:prstClr val="green"/>
                  </a:solidFill>
                </a:ln>
              </xdr:spPr>
              <xdr:txBody>
                <a:bodyPr vertOverflow="clip" horzOverflow="clip"/>
                <a:lstStyle/>
                <a:p>
                  <a:r>
                    <a:rPr lang="it-IT" sz="1100"/>
                    <a:t>Questa forma rappresenta un filtro dei dati. I filtri dei dati sono supportati in Excel 2010 o versione successiva.
Se la forma è stata modificata in una versione precedente di Excel o se la cartella di lavoro è stata salvata in Excel 2003 o versioni precedenti, non è possibile usare il filtro dei dati.</a:t>
                  </a:r>
                </a:p>
              </xdr:txBody>
            </xdr:sp>
          </mc:Fallback>
        </mc:AlternateContent>
        <mc:AlternateContent xmlns:mc="http://schemas.openxmlformats.org/markup-compatibility/2006" xmlns:a14="http://schemas.microsoft.com/office/drawing/2010/main">
          <mc:Choice Requires="a14">
            <xdr:graphicFrame macro="">
              <xdr:nvGraphicFramePr>
                <xdr:cNvPr id="3" name="Year 4">
                  <a:extLst>
                    <a:ext uri="{FF2B5EF4-FFF2-40B4-BE49-F238E27FC236}">
                      <a16:creationId xmlns:a16="http://schemas.microsoft.com/office/drawing/2014/main" id="{00000000-0008-0000-0100-000003000000}"/>
                    </a:ext>
                  </a:extLst>
                </xdr:cNvPr>
                <xdr:cNvGraphicFramePr/>
              </xdr:nvGraphicFramePr>
              <xdr:xfrm>
                <a:off x="11444968" y="3358241"/>
                <a:ext cx="1352026" cy="575584"/>
              </xdr:xfrm>
              <a:graphic>
                <a:graphicData uri="http://schemas.microsoft.com/office/drawing/2010/slicer">
                  <sle:slicer xmlns:sle="http://schemas.microsoft.com/office/drawing/2010/slicer" name="Year 4"/>
                </a:graphicData>
              </a:graphic>
            </xdr:graphicFrame>
          </mc:Choice>
          <mc:Fallback xmlns="">
            <xdr:sp macro="" textlink="">
              <xdr:nvSpPr>
                <xdr:cNvPr id="0" name=""/>
                <xdr:cNvSpPr>
                  <a:spLocks noTextEdit="1"/>
                </xdr:cNvSpPr>
              </xdr:nvSpPr>
              <xdr:spPr>
                <a:xfrm>
                  <a:off x="8903907" y="5053690"/>
                  <a:ext cx="1352026" cy="575584"/>
                </a:xfrm>
                <a:prstGeom prst="rect">
                  <a:avLst/>
                </a:prstGeom>
                <a:solidFill>
                  <a:prstClr val="white"/>
                </a:solidFill>
                <a:ln w="1">
                  <a:solidFill>
                    <a:prstClr val="green"/>
                  </a:solidFill>
                </a:ln>
              </xdr:spPr>
              <xdr:txBody>
                <a:bodyPr vertOverflow="clip" horzOverflow="clip"/>
                <a:lstStyle/>
                <a:p>
                  <a:r>
                    <a:rPr lang="it-IT" sz="1100"/>
                    <a:t>Questa forma rappresenta un filtro dei dati. I filtri dei dati sono supportati in Excel 2010 o versione successiva.
Se la forma è stata modificata in una versione precedente di Excel o se la cartella di lavoro è stata salvata in Excel 2003 o versioni precedenti, non è possibile usare il filtro dei dati.</a:t>
                  </a:r>
                </a:p>
              </xdr:txBody>
            </xdr:sp>
          </mc:Fallback>
        </mc:AlternateContent>
        <xdr:cxnSp macro="">
          <xdr:nvCxnSpPr>
            <xdr:cNvPr id="53" name="Connettore diritto 52">
              <a:extLst>
                <a:ext uri="{FF2B5EF4-FFF2-40B4-BE49-F238E27FC236}">
                  <a16:creationId xmlns:a16="http://schemas.microsoft.com/office/drawing/2014/main" id="{00000000-0008-0000-0100-000035000000}"/>
                </a:ext>
              </a:extLst>
            </xdr:cNvPr>
            <xdr:cNvCxnSpPr/>
          </xdr:nvCxnSpPr>
          <xdr:spPr>
            <a:xfrm flipV="1">
              <a:off x="11472449" y="3424651"/>
              <a:ext cx="1" cy="396000"/>
            </a:xfrm>
            <a:prstGeom prst="line">
              <a:avLst/>
            </a:prstGeom>
            <a:ln>
              <a:solidFill>
                <a:schemeClr val="bg2"/>
              </a:solidFill>
            </a:ln>
          </xdr:spPr>
          <xdr:style>
            <a:lnRef idx="1">
              <a:schemeClr val="accent1"/>
            </a:lnRef>
            <a:fillRef idx="0">
              <a:schemeClr val="accent1"/>
            </a:fillRef>
            <a:effectRef idx="0">
              <a:schemeClr val="accent1"/>
            </a:effectRef>
            <a:fontRef idx="minor">
              <a:schemeClr val="tx1"/>
            </a:fontRef>
          </xdr:style>
        </xdr:cxnSp>
        <xdr:pic>
          <xdr:nvPicPr>
            <xdr:cNvPr id="56" name="Immagine 55" descr="Risultati immagini per filter png">
              <a:extLst>
                <a:ext uri="{FF2B5EF4-FFF2-40B4-BE49-F238E27FC236}">
                  <a16:creationId xmlns:a16="http://schemas.microsoft.com/office/drawing/2014/main" id="{00000000-0008-0000-0100-000038000000}"/>
                </a:ext>
              </a:extLst>
            </xdr:cNvPr>
            <xdr:cNvPicPr>
              <a:picLocks noChangeAspect="1" noChangeArrowheads="1"/>
            </xdr:cNvPicPr>
          </xdr:nvPicPr>
          <xdr:blipFill>
            <a:blip xmlns:r="http://schemas.openxmlformats.org/officeDocument/2006/relationships" r:embed="rId2"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0725150" y="3200331"/>
              <a:ext cx="190500" cy="1900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7" name="CasellaDiTesto 56">
              <a:extLst>
                <a:ext uri="{FF2B5EF4-FFF2-40B4-BE49-F238E27FC236}">
                  <a16:creationId xmlns:a16="http://schemas.microsoft.com/office/drawing/2014/main" id="{00000000-0008-0000-0100-000039000000}"/>
                </a:ext>
              </a:extLst>
            </xdr:cNvPr>
            <xdr:cNvSpPr txBox="1"/>
          </xdr:nvSpPr>
          <xdr:spPr>
            <a:xfrm>
              <a:off x="10848974" y="3171825"/>
              <a:ext cx="608052" cy="253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1100" b="1">
                  <a:solidFill>
                    <a:schemeClr val="bg2">
                      <a:lumMod val="75000"/>
                    </a:schemeClr>
                  </a:solidFill>
                  <a:latin typeface="Arial" panose="020B0604020202020204" pitchFamily="34" charset="0"/>
                  <a:cs typeface="Arial" panose="020B0604020202020204" pitchFamily="34" charset="0"/>
                </a:rPr>
                <a:t>Filters</a:t>
              </a:r>
            </a:p>
          </xdr:txBody>
        </xdr:sp>
      </xdr:grpSp>
      <xdr:sp macro="" textlink="">
        <xdr:nvSpPr>
          <xdr:cNvPr id="66" name="CasellaDiTesto 65">
            <a:extLst>
              <a:ext uri="{FF2B5EF4-FFF2-40B4-BE49-F238E27FC236}">
                <a16:creationId xmlns:a16="http://schemas.microsoft.com/office/drawing/2014/main" id="{00000000-0008-0000-0100-000042000000}"/>
              </a:ext>
            </a:extLst>
          </xdr:cNvPr>
          <xdr:cNvSpPr txBox="1"/>
        </xdr:nvSpPr>
        <xdr:spPr>
          <a:xfrm>
            <a:off x="12611100" y="2362200"/>
            <a:ext cx="1123950" cy="406389"/>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1400" b="1">
                <a:solidFill>
                  <a:schemeClr val="bg2">
                    <a:lumMod val="75000"/>
                  </a:schemeClr>
                </a:solidFill>
                <a:latin typeface="Arial" panose="020B0604020202020204" pitchFamily="34" charset="0"/>
                <a:cs typeface="Arial" panose="020B0604020202020204" pitchFamily="34" charset="0"/>
              </a:rPr>
              <a:t>Power </a:t>
            </a:r>
            <a:r>
              <a:rPr lang="it-IT" sz="1100" b="0">
                <a:solidFill>
                  <a:schemeClr val="bg2">
                    <a:lumMod val="75000"/>
                  </a:schemeClr>
                </a:solidFill>
                <a:latin typeface="Arial" panose="020B0604020202020204" pitchFamily="34" charset="0"/>
                <a:cs typeface="Arial" panose="020B0604020202020204" pitchFamily="34" charset="0"/>
              </a:rPr>
              <a:t>(TWh)</a:t>
            </a:r>
            <a:endParaRPr lang="it-IT" sz="1400" b="0">
              <a:solidFill>
                <a:schemeClr val="bg2">
                  <a:lumMod val="75000"/>
                </a:schemeClr>
              </a:solidFill>
            </a:endParaRPr>
          </a:p>
        </xdr:txBody>
      </xdr:sp>
      <xdr:sp macro="" textlink="">
        <xdr:nvSpPr>
          <xdr:cNvPr id="67" name="CasellaDiTesto 66">
            <a:extLst>
              <a:ext uri="{FF2B5EF4-FFF2-40B4-BE49-F238E27FC236}">
                <a16:creationId xmlns:a16="http://schemas.microsoft.com/office/drawing/2014/main" id="{00000000-0008-0000-0100-000043000000}"/>
              </a:ext>
            </a:extLst>
          </xdr:cNvPr>
          <xdr:cNvSpPr txBox="1"/>
        </xdr:nvSpPr>
        <xdr:spPr>
          <a:xfrm>
            <a:off x="16459200" y="2362200"/>
            <a:ext cx="1123950" cy="406389"/>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1400" b="1">
                <a:solidFill>
                  <a:schemeClr val="bg2">
                    <a:lumMod val="75000"/>
                  </a:schemeClr>
                </a:solidFill>
                <a:latin typeface="Arial" panose="020B0604020202020204" pitchFamily="34" charset="0"/>
                <a:cs typeface="Arial" panose="020B0604020202020204" pitchFamily="34" charset="0"/>
              </a:rPr>
              <a:t>Gas </a:t>
            </a:r>
            <a:r>
              <a:rPr lang="it-IT" sz="1100" b="0">
                <a:solidFill>
                  <a:schemeClr val="bg2">
                    <a:lumMod val="75000"/>
                  </a:schemeClr>
                </a:solidFill>
                <a:latin typeface="Arial" panose="020B0604020202020204" pitchFamily="34" charset="0"/>
                <a:cs typeface="Arial" panose="020B0604020202020204" pitchFamily="34" charset="0"/>
              </a:rPr>
              <a:t>(bln sm)</a:t>
            </a:r>
            <a:endParaRPr lang="it-IT" sz="1400" b="0">
              <a:solidFill>
                <a:schemeClr val="bg2">
                  <a:lumMod val="75000"/>
                </a:schemeClr>
              </a:solidFill>
            </a:endParaRPr>
          </a:p>
        </xdr:txBody>
      </xdr:sp>
    </xdr:grpSp>
    <xdr:clientData/>
  </xdr:twoCellAnchor>
  <xdr:oneCellAnchor>
    <xdr:from>
      <xdr:col>12</xdr:col>
      <xdr:colOff>523875</xdr:colOff>
      <xdr:row>55</xdr:row>
      <xdr:rowOff>38100</xdr:rowOff>
    </xdr:from>
    <xdr:ext cx="184731" cy="264560"/>
    <xdr:sp macro="" textlink="">
      <xdr:nvSpPr>
        <xdr:cNvPr id="61" name="CasellaDiTesto 60">
          <a:extLst>
            <a:ext uri="{FF2B5EF4-FFF2-40B4-BE49-F238E27FC236}">
              <a16:creationId xmlns:a16="http://schemas.microsoft.com/office/drawing/2014/main" id="{00000000-0008-0000-0100-00003D000000}"/>
            </a:ext>
          </a:extLst>
        </xdr:cNvPr>
        <xdr:cNvSpPr txBox="1"/>
      </xdr:nvSpPr>
      <xdr:spPr>
        <a:xfrm>
          <a:off x="808672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twoCellAnchor>
    <xdr:from>
      <xdr:col>11</xdr:col>
      <xdr:colOff>466039</xdr:colOff>
      <xdr:row>35</xdr:row>
      <xdr:rowOff>178417</xdr:rowOff>
    </xdr:from>
    <xdr:to>
      <xdr:col>23</xdr:col>
      <xdr:colOff>549889</xdr:colOff>
      <xdr:row>58</xdr:row>
      <xdr:rowOff>58792</xdr:rowOff>
    </xdr:to>
    <xdr:grpSp>
      <xdr:nvGrpSpPr>
        <xdr:cNvPr id="10" name="Gruppo 9">
          <a:extLst>
            <a:ext uri="{FF2B5EF4-FFF2-40B4-BE49-F238E27FC236}">
              <a16:creationId xmlns:a16="http://schemas.microsoft.com/office/drawing/2014/main" id="{00000000-0008-0000-0100-00000A000000}"/>
            </a:ext>
          </a:extLst>
        </xdr:cNvPr>
        <xdr:cNvGrpSpPr/>
      </xdr:nvGrpSpPr>
      <xdr:grpSpPr>
        <a:xfrm>
          <a:off x="7419289" y="6560167"/>
          <a:ext cx="7399050" cy="4042800"/>
          <a:chOff x="7639050" y="5087709"/>
          <a:chExt cx="7399050" cy="4042800"/>
        </a:xfrm>
      </xdr:grpSpPr>
      <xdr:sp macro="" textlink="">
        <xdr:nvSpPr>
          <xdr:cNvPr id="80" name="Rettangolo 79">
            <a:extLst>
              <a:ext uri="{FF2B5EF4-FFF2-40B4-BE49-F238E27FC236}">
                <a16:creationId xmlns:a16="http://schemas.microsoft.com/office/drawing/2014/main" id="{00000000-0008-0000-0100-000050000000}"/>
              </a:ext>
            </a:extLst>
          </xdr:cNvPr>
          <xdr:cNvSpPr/>
        </xdr:nvSpPr>
        <xdr:spPr>
          <a:xfrm>
            <a:off x="7658100" y="5087709"/>
            <a:ext cx="7380000" cy="40428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graphicFrame macro="">
        <xdr:nvGraphicFramePr>
          <xdr:cNvPr id="69" name="GraphEmissions">
            <a:extLst>
              <a:ext uri="{FF2B5EF4-FFF2-40B4-BE49-F238E27FC236}">
                <a16:creationId xmlns:a16="http://schemas.microsoft.com/office/drawing/2014/main" id="{00000000-0008-0000-0100-000045000000}"/>
              </a:ext>
            </a:extLst>
          </xdr:cNvPr>
          <xdr:cNvGraphicFramePr>
            <a:graphicFrameLocks/>
          </xdr:cNvGraphicFramePr>
        </xdr:nvGraphicFramePr>
        <xdr:xfrm>
          <a:off x="7791450" y="5848350"/>
          <a:ext cx="3762376" cy="2154009"/>
        </xdr:xfrm>
        <a:graphic>
          <a:graphicData uri="http://schemas.openxmlformats.org/drawingml/2006/chart">
            <c:chart xmlns:c="http://schemas.openxmlformats.org/drawingml/2006/chart" xmlns:r="http://schemas.openxmlformats.org/officeDocument/2006/relationships" r:id="rId5"/>
          </a:graphicData>
        </a:graphic>
      </xdr:graphicFrame>
      <mc:AlternateContent xmlns:mc="http://schemas.openxmlformats.org/markup-compatibility/2006" xmlns:a14="http://schemas.microsoft.com/office/drawing/2010/main">
        <mc:Choice Requires="a14">
          <xdr:graphicFrame macro="">
            <xdr:nvGraphicFramePr>
              <xdr:cNvPr id="68" name="Category 5">
                <a:extLst>
                  <a:ext uri="{FF2B5EF4-FFF2-40B4-BE49-F238E27FC236}">
                    <a16:creationId xmlns:a16="http://schemas.microsoft.com/office/drawing/2014/main" id="{00000000-0008-0000-0100-000044000000}"/>
                  </a:ext>
                </a:extLst>
              </xdr:cNvPr>
              <xdr:cNvGraphicFramePr/>
            </xdr:nvGraphicFramePr>
            <xdr:xfrm>
              <a:off x="9863136" y="8292874"/>
              <a:ext cx="1481139" cy="765402"/>
            </xdr:xfrm>
            <a:graphic>
              <a:graphicData uri="http://schemas.microsoft.com/office/drawing/2010/slicer">
                <sle:slicer xmlns:sle="http://schemas.microsoft.com/office/drawing/2010/slicer" name="Category 5"/>
              </a:graphicData>
            </a:graphic>
          </xdr:graphicFrame>
        </mc:Choice>
        <mc:Fallback xmlns="">
          <xdr:sp macro="" textlink="">
            <xdr:nvSpPr>
              <xdr:cNvPr id="0" name=""/>
              <xdr:cNvSpPr>
                <a:spLocks noTextEdit="1"/>
              </xdr:cNvSpPr>
            </xdr:nvSpPr>
            <xdr:spPr>
              <a:xfrm>
                <a:off x="9643375" y="9041432"/>
                <a:ext cx="1481139" cy="765402"/>
              </a:xfrm>
              <a:prstGeom prst="rect">
                <a:avLst/>
              </a:prstGeom>
              <a:solidFill>
                <a:prstClr val="white"/>
              </a:solidFill>
              <a:ln w="1">
                <a:solidFill>
                  <a:prstClr val="green"/>
                </a:solidFill>
              </a:ln>
            </xdr:spPr>
            <xdr:txBody>
              <a:bodyPr vertOverflow="clip" horzOverflow="clip"/>
              <a:lstStyle/>
              <a:p>
                <a:r>
                  <a:rPr lang="it-IT" sz="1100"/>
                  <a:t>Questa forma rappresenta un filtro dei dati. I filtri dei dati sono supportati in Excel 2010 o versione successiva.
Se la forma è stata modificata in una versione precedente di Excel o se la cartella di lavoro è stata salvata in Excel 2003 o versioni precedenti, non è possibile usare il filtro dei dati.</a:t>
                </a:r>
              </a:p>
            </xdr:txBody>
          </xdr:sp>
        </mc:Fallback>
      </mc:AlternateContent>
      <xdr:sp macro="" textlink="">
        <xdr:nvSpPr>
          <xdr:cNvPr id="78" name="CasellaDiTesto 77">
            <a:extLst>
              <a:ext uri="{FF2B5EF4-FFF2-40B4-BE49-F238E27FC236}">
                <a16:creationId xmlns:a16="http://schemas.microsoft.com/office/drawing/2014/main" id="{00000000-0008-0000-0100-00004E000000}"/>
              </a:ext>
            </a:extLst>
          </xdr:cNvPr>
          <xdr:cNvSpPr txBox="1"/>
        </xdr:nvSpPr>
        <xdr:spPr>
          <a:xfrm>
            <a:off x="8353426" y="8326277"/>
            <a:ext cx="1523999" cy="265274"/>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100" b="1">
                <a:solidFill>
                  <a:schemeClr val="bg2">
                    <a:lumMod val="75000"/>
                  </a:schemeClr>
                </a:solidFill>
                <a:latin typeface="Arial" panose="020B0604020202020204" pitchFamily="34" charset="0"/>
                <a:cs typeface="Arial" panose="020B0604020202020204" pitchFamily="34" charset="0"/>
              </a:rPr>
              <a:t>Filters</a:t>
            </a:r>
          </a:p>
        </xdr:txBody>
      </xdr:sp>
      <xdr:pic>
        <xdr:nvPicPr>
          <xdr:cNvPr id="82" name="Immagine 81" descr="Risultati immagini per filter png">
            <a:extLst>
              <a:ext uri="{FF2B5EF4-FFF2-40B4-BE49-F238E27FC236}">
                <a16:creationId xmlns:a16="http://schemas.microsoft.com/office/drawing/2014/main" id="{00000000-0008-0000-0100-000052000000}"/>
              </a:ext>
            </a:extLst>
          </xdr:cNvPr>
          <xdr:cNvPicPr>
            <a:picLocks noChangeAspect="1" noChangeArrowheads="1"/>
          </xdr:cNvPicPr>
        </xdr:nvPicPr>
        <xdr:blipFill>
          <a:blip xmlns:r="http://schemas.openxmlformats.org/officeDocument/2006/relationships" r:embed="rId2"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953500" y="8345259"/>
            <a:ext cx="190500" cy="190050"/>
          </a:xfrm>
          <a:prstGeom prst="rect">
            <a:avLst/>
          </a:prstGeom>
          <a:solidFill>
            <a:schemeClr val="bg1">
              <a:lumMod val="95000"/>
            </a:schemeClr>
          </a:solidFill>
          <a:extLst/>
        </xdr:spPr>
      </xdr:pic>
      <mc:AlternateContent xmlns:mc="http://schemas.openxmlformats.org/markup-compatibility/2006" xmlns:a14="http://schemas.microsoft.com/office/drawing/2010/main">
        <mc:Choice Requires="a14">
          <xdr:graphicFrame macro="">
            <xdr:nvGraphicFramePr>
              <xdr:cNvPr id="4" name="Year">
                <a:extLst>
                  <a:ext uri="{FF2B5EF4-FFF2-40B4-BE49-F238E27FC236}">
                    <a16:creationId xmlns:a16="http://schemas.microsoft.com/office/drawing/2014/main" id="{00000000-0008-0000-0100-000004000000}"/>
                  </a:ext>
                </a:extLst>
              </xdr:cNvPr>
              <xdr:cNvGraphicFramePr/>
            </xdr:nvGraphicFramePr>
            <xdr:xfrm>
              <a:off x="8324850" y="8515349"/>
              <a:ext cx="1609726" cy="561976"/>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8105089" y="9263907"/>
                <a:ext cx="1609726" cy="561976"/>
              </a:xfrm>
              <a:prstGeom prst="rect">
                <a:avLst/>
              </a:prstGeom>
              <a:solidFill>
                <a:prstClr val="white"/>
              </a:solidFill>
              <a:ln w="1">
                <a:solidFill>
                  <a:prstClr val="green"/>
                </a:solidFill>
              </a:ln>
            </xdr:spPr>
            <xdr:txBody>
              <a:bodyPr vertOverflow="clip" horzOverflow="clip"/>
              <a:lstStyle/>
              <a:p>
                <a:r>
                  <a:rPr lang="it-IT" sz="1100"/>
                  <a:t>Questa forma rappresenta un filtro dei dati. I filtri dei dati sono supportati in Excel 2010 o versione successiva.
Se la forma è stata modificata in una versione precedente di Excel o se la cartella di lavoro è stata salvata in Excel 2003 o versioni precedenti, non è possibile usare il filtro dei dati.</a:t>
                </a:r>
              </a:p>
            </xdr:txBody>
          </xdr:sp>
        </mc:Fallback>
      </mc:AlternateContent>
      <xdr:cxnSp macro="">
        <xdr:nvCxnSpPr>
          <xdr:cNvPr id="74" name="Connettore diritto 73">
            <a:extLst>
              <a:ext uri="{FF2B5EF4-FFF2-40B4-BE49-F238E27FC236}">
                <a16:creationId xmlns:a16="http://schemas.microsoft.com/office/drawing/2014/main" id="{00000000-0008-0000-0100-00004A000000}"/>
              </a:ext>
            </a:extLst>
          </xdr:cNvPr>
          <xdr:cNvCxnSpPr/>
        </xdr:nvCxnSpPr>
        <xdr:spPr>
          <a:xfrm rot="5400000" flipV="1">
            <a:off x="9585677" y="8664227"/>
            <a:ext cx="612000" cy="1"/>
          </a:xfrm>
          <a:prstGeom prst="line">
            <a:avLst/>
          </a:prstGeom>
          <a:ln>
            <a:solidFill>
              <a:schemeClr val="bg2"/>
            </a:solidFill>
          </a:ln>
        </xdr:spPr>
        <xdr:style>
          <a:lnRef idx="1">
            <a:schemeClr val="accent1"/>
          </a:lnRef>
          <a:fillRef idx="0">
            <a:schemeClr val="accent1"/>
          </a:fillRef>
          <a:effectRef idx="0">
            <a:schemeClr val="accent1"/>
          </a:effectRef>
          <a:fontRef idx="minor">
            <a:schemeClr val="tx1"/>
          </a:fontRef>
        </xdr:style>
      </xdr:cxnSp>
      <xdr:graphicFrame macro="">
        <xdr:nvGraphicFramePr>
          <xdr:cNvPr id="89" name="GraphCustomers">
            <a:extLst>
              <a:ext uri="{FF2B5EF4-FFF2-40B4-BE49-F238E27FC236}">
                <a16:creationId xmlns:a16="http://schemas.microsoft.com/office/drawing/2014/main" id="{00000000-0008-0000-0100-000059000000}"/>
              </a:ext>
            </a:extLst>
          </xdr:cNvPr>
          <xdr:cNvGraphicFramePr>
            <a:graphicFrameLocks/>
          </xdr:cNvGraphicFramePr>
        </xdr:nvGraphicFramePr>
        <xdr:xfrm>
          <a:off x="11492565" y="5819776"/>
          <a:ext cx="3433109" cy="2390774"/>
        </xdr:xfrm>
        <a:graphic>
          <a:graphicData uri="http://schemas.openxmlformats.org/drawingml/2006/chart">
            <c:chart xmlns:c="http://schemas.openxmlformats.org/drawingml/2006/chart" xmlns:r="http://schemas.openxmlformats.org/officeDocument/2006/relationships" r:id="rId6"/>
          </a:graphicData>
        </a:graphic>
      </xdr:graphicFrame>
      <xdr:grpSp>
        <xdr:nvGrpSpPr>
          <xdr:cNvPr id="50" name="Gruppo 49">
            <a:extLst>
              <a:ext uri="{FF2B5EF4-FFF2-40B4-BE49-F238E27FC236}">
                <a16:creationId xmlns:a16="http://schemas.microsoft.com/office/drawing/2014/main" id="{00000000-0008-0000-0100-000032000000}"/>
              </a:ext>
            </a:extLst>
          </xdr:cNvPr>
          <xdr:cNvGrpSpPr/>
        </xdr:nvGrpSpPr>
        <xdr:grpSpPr>
          <a:xfrm>
            <a:off x="11763375" y="8250077"/>
            <a:ext cx="2895599" cy="836772"/>
            <a:chOff x="11763375" y="8250077"/>
            <a:chExt cx="2895599" cy="836772"/>
          </a:xfrm>
        </xdr:grpSpPr>
        <xdr:grpSp>
          <xdr:nvGrpSpPr>
            <xdr:cNvPr id="42" name="Gruppo 41">
              <a:extLst>
                <a:ext uri="{FF2B5EF4-FFF2-40B4-BE49-F238E27FC236}">
                  <a16:creationId xmlns:a16="http://schemas.microsoft.com/office/drawing/2014/main" id="{00000000-0008-0000-0100-00002A000000}"/>
                </a:ext>
              </a:extLst>
            </xdr:cNvPr>
            <xdr:cNvGrpSpPr/>
          </xdr:nvGrpSpPr>
          <xdr:grpSpPr>
            <a:xfrm>
              <a:off x="11772901" y="8439151"/>
              <a:ext cx="2886073" cy="647698"/>
              <a:chOff x="11572876" y="8420101"/>
              <a:chExt cx="2886073" cy="647698"/>
            </a:xfrm>
          </xdr:grpSpPr>
          <mc:AlternateContent xmlns:mc="http://schemas.openxmlformats.org/markup-compatibility/2006" xmlns:a14="http://schemas.microsoft.com/office/drawing/2010/main">
            <mc:Choice Requires="a14">
              <xdr:graphicFrame macro="">
                <xdr:nvGraphicFramePr>
                  <xdr:cNvPr id="36" name="Category 4">
                    <a:extLst>
                      <a:ext uri="{FF2B5EF4-FFF2-40B4-BE49-F238E27FC236}">
                        <a16:creationId xmlns:a16="http://schemas.microsoft.com/office/drawing/2014/main" id="{00000000-0008-0000-0100-000024000000}"/>
                      </a:ext>
                    </a:extLst>
                  </xdr:cNvPr>
                  <xdr:cNvGraphicFramePr/>
                </xdr:nvGraphicFramePr>
                <xdr:xfrm>
                  <a:off x="11572876" y="8420101"/>
                  <a:ext cx="1419223" cy="342900"/>
                </xdr:xfrm>
                <a:graphic>
                  <a:graphicData uri="http://schemas.microsoft.com/office/drawing/2010/slicer">
                    <sle:slicer xmlns:sle="http://schemas.microsoft.com/office/drawing/2010/slicer" name="Category 4"/>
                  </a:graphicData>
                </a:graphic>
              </xdr:graphicFrame>
            </mc:Choice>
            <mc:Fallback xmlns="">
              <xdr:sp macro="" textlink="">
                <xdr:nvSpPr>
                  <xdr:cNvPr id="0" name=""/>
                  <xdr:cNvSpPr>
                    <a:spLocks noTextEdit="1"/>
                  </xdr:cNvSpPr>
                </xdr:nvSpPr>
                <xdr:spPr>
                  <a:xfrm>
                    <a:off x="11553140" y="9187709"/>
                    <a:ext cx="1419223" cy="342900"/>
                  </a:xfrm>
                  <a:prstGeom prst="rect">
                    <a:avLst/>
                  </a:prstGeom>
                  <a:solidFill>
                    <a:prstClr val="white"/>
                  </a:solidFill>
                  <a:ln w="1">
                    <a:solidFill>
                      <a:prstClr val="green"/>
                    </a:solidFill>
                  </a:ln>
                </xdr:spPr>
                <xdr:txBody>
                  <a:bodyPr vertOverflow="clip" horzOverflow="clip"/>
                  <a:lstStyle/>
                  <a:p>
                    <a:r>
                      <a:rPr lang="it-IT" sz="1100"/>
                      <a:t>Questa forma rappresenta un filtro dei dati. I filtri dei dati sono supportati in Excel 2010 o versione successiva.
Se la forma è stata modificata in una versione precedente di Excel o se la cartella di lavoro è stata salvata in Excel 2003 o versioni precedenti, non è possibile usare il filtro dei dati.</a:t>
                    </a:r>
                  </a:p>
                </xdr:txBody>
              </xdr:sp>
            </mc:Fallback>
          </mc:AlternateContent>
          <mc:AlternateContent xmlns:mc="http://schemas.openxmlformats.org/markup-compatibility/2006" xmlns:a14="http://schemas.microsoft.com/office/drawing/2010/main">
            <mc:Choice Requires="a14">
              <xdr:graphicFrame macro="">
                <xdr:nvGraphicFramePr>
                  <xdr:cNvPr id="21" name="Measure unit">
                    <a:extLst>
                      <a:ext uri="{FF2B5EF4-FFF2-40B4-BE49-F238E27FC236}">
                        <a16:creationId xmlns:a16="http://schemas.microsoft.com/office/drawing/2014/main" id="{00000000-0008-0000-0100-000015000000}"/>
                      </a:ext>
                    </a:extLst>
                  </xdr:cNvPr>
                  <xdr:cNvGraphicFramePr/>
                </xdr:nvGraphicFramePr>
                <xdr:xfrm>
                  <a:off x="11591925" y="8696324"/>
                  <a:ext cx="1400176" cy="371475"/>
                </xdr:xfrm>
                <a:graphic>
                  <a:graphicData uri="http://schemas.microsoft.com/office/drawing/2010/slicer">
                    <sle:slicer xmlns:sle="http://schemas.microsoft.com/office/drawing/2010/slicer" name="Measure unit"/>
                  </a:graphicData>
                </a:graphic>
              </xdr:graphicFrame>
            </mc:Choice>
            <mc:Fallback xmlns="">
              <xdr:sp macro="" textlink="">
                <xdr:nvSpPr>
                  <xdr:cNvPr id="0" name=""/>
                  <xdr:cNvSpPr>
                    <a:spLocks noTextEdit="1"/>
                  </xdr:cNvSpPr>
                </xdr:nvSpPr>
                <xdr:spPr>
                  <a:xfrm>
                    <a:off x="11572189" y="9463932"/>
                    <a:ext cx="1400176" cy="371475"/>
                  </a:xfrm>
                  <a:prstGeom prst="rect">
                    <a:avLst/>
                  </a:prstGeom>
                  <a:solidFill>
                    <a:prstClr val="white"/>
                  </a:solidFill>
                  <a:ln w="1">
                    <a:solidFill>
                      <a:prstClr val="green"/>
                    </a:solidFill>
                  </a:ln>
                </xdr:spPr>
                <xdr:txBody>
                  <a:bodyPr vertOverflow="clip" horzOverflow="clip"/>
                  <a:lstStyle/>
                  <a:p>
                    <a:r>
                      <a:rPr lang="it-IT" sz="1100"/>
                      <a:t>Questa forma rappresenta un filtro dei dati. I filtri dei dati sono supportati in Excel 2010 o versione successiva.
Se la forma è stata modificata in una versione precedente di Excel o se la cartella di lavoro è stata salvata in Excel 2003 o versioni precedenti, non è possibile usare il filtro dei dati.</a:t>
                    </a:r>
                  </a:p>
                </xdr:txBody>
              </xdr:sp>
            </mc:Fallback>
          </mc:AlternateContent>
          <xdr:cxnSp macro="">
            <xdr:nvCxnSpPr>
              <xdr:cNvPr id="91" name="Connettore diritto 90">
                <a:extLst>
                  <a:ext uri="{FF2B5EF4-FFF2-40B4-BE49-F238E27FC236}">
                    <a16:creationId xmlns:a16="http://schemas.microsoft.com/office/drawing/2014/main" id="{00000000-0008-0000-0100-00005B000000}"/>
                  </a:ext>
                </a:extLst>
              </xdr:cNvPr>
              <xdr:cNvCxnSpPr/>
            </xdr:nvCxnSpPr>
            <xdr:spPr>
              <a:xfrm flipV="1">
                <a:off x="11666403" y="8726628"/>
                <a:ext cx="1224000" cy="1"/>
              </a:xfrm>
              <a:prstGeom prst="line">
                <a:avLst/>
              </a:prstGeom>
              <a:ln>
                <a:solidFill>
                  <a:schemeClr val="bg2"/>
                </a:solidFill>
              </a:ln>
            </xdr:spPr>
            <xdr:style>
              <a:lnRef idx="1">
                <a:schemeClr val="accent1"/>
              </a:lnRef>
              <a:fillRef idx="0">
                <a:schemeClr val="accent1"/>
              </a:fillRef>
              <a:effectRef idx="0">
                <a:schemeClr val="accent1"/>
              </a:effectRef>
              <a:fontRef idx="minor">
                <a:schemeClr val="tx1"/>
              </a:fontRef>
            </xdr:style>
          </xdr:cxnSp>
          <mc:AlternateContent xmlns:mc="http://schemas.openxmlformats.org/markup-compatibility/2006" xmlns:a14="http://schemas.microsoft.com/office/drawing/2010/main">
            <mc:Choice Requires="a14">
              <xdr:graphicFrame macro="">
                <xdr:nvGraphicFramePr>
                  <xdr:cNvPr id="38" name="Year 1">
                    <a:extLst>
                      <a:ext uri="{FF2B5EF4-FFF2-40B4-BE49-F238E27FC236}">
                        <a16:creationId xmlns:a16="http://schemas.microsoft.com/office/drawing/2014/main" id="{00000000-0008-0000-0100-000026000000}"/>
                      </a:ext>
                    </a:extLst>
                  </xdr:cNvPr>
                  <xdr:cNvGraphicFramePr/>
                </xdr:nvGraphicFramePr>
                <xdr:xfrm>
                  <a:off x="12906375" y="8420101"/>
                  <a:ext cx="1552574" cy="59055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12886639" y="9187709"/>
                    <a:ext cx="1552574" cy="590550"/>
                  </a:xfrm>
                  <a:prstGeom prst="rect">
                    <a:avLst/>
                  </a:prstGeom>
                  <a:solidFill>
                    <a:prstClr val="white"/>
                  </a:solidFill>
                  <a:ln w="1">
                    <a:solidFill>
                      <a:prstClr val="green"/>
                    </a:solidFill>
                  </a:ln>
                </xdr:spPr>
                <xdr:txBody>
                  <a:bodyPr vertOverflow="clip" horzOverflow="clip"/>
                  <a:lstStyle/>
                  <a:p>
                    <a:r>
                      <a:rPr lang="it-IT" sz="1100"/>
                      <a:t>Questa forma rappresenta un filtro dei dati. I filtri dei dati sono supportati in Excel 2010 o versione successiva.
Se la forma è stata modificata in una versione precedente di Excel o se la cartella di lavoro è stata salvata in Excel 2003 o versioni precedenti, non è possibile usare il filtro dei dati.</a:t>
                    </a:r>
                  </a:p>
                </xdr:txBody>
              </xdr:sp>
            </mc:Fallback>
          </mc:AlternateContent>
          <xdr:cxnSp macro="">
            <xdr:nvCxnSpPr>
              <xdr:cNvPr id="90" name="Connettore diritto 89">
                <a:extLst>
                  <a:ext uri="{FF2B5EF4-FFF2-40B4-BE49-F238E27FC236}">
                    <a16:creationId xmlns:a16="http://schemas.microsoft.com/office/drawing/2014/main" id="{00000000-0008-0000-0100-00005A000000}"/>
                  </a:ext>
                </a:extLst>
              </xdr:cNvPr>
              <xdr:cNvCxnSpPr/>
            </xdr:nvCxnSpPr>
            <xdr:spPr>
              <a:xfrm rot="5400000" flipV="1">
                <a:off x="12733203" y="8717103"/>
                <a:ext cx="432000" cy="1"/>
              </a:xfrm>
              <a:prstGeom prst="line">
                <a:avLst/>
              </a:prstGeom>
              <a:ln>
                <a:solidFill>
                  <a:schemeClr val="bg2"/>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2" name="CasellaDiTesto 91">
              <a:extLst>
                <a:ext uri="{FF2B5EF4-FFF2-40B4-BE49-F238E27FC236}">
                  <a16:creationId xmlns:a16="http://schemas.microsoft.com/office/drawing/2014/main" id="{00000000-0008-0000-0100-00005C000000}"/>
                </a:ext>
              </a:extLst>
            </xdr:cNvPr>
            <xdr:cNvSpPr txBox="1"/>
          </xdr:nvSpPr>
          <xdr:spPr>
            <a:xfrm>
              <a:off x="11763375" y="8250077"/>
              <a:ext cx="2800349" cy="265274"/>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100" b="1">
                  <a:solidFill>
                    <a:schemeClr val="bg2">
                      <a:lumMod val="75000"/>
                    </a:schemeClr>
                  </a:solidFill>
                  <a:latin typeface="Arial" panose="020B0604020202020204" pitchFamily="34" charset="0"/>
                  <a:cs typeface="Arial" panose="020B0604020202020204" pitchFamily="34" charset="0"/>
                </a:rPr>
                <a:t>Filters</a:t>
              </a:r>
            </a:p>
          </xdr:txBody>
        </xdr:sp>
        <xdr:pic>
          <xdr:nvPicPr>
            <xdr:cNvPr id="93" name="Immagine 92" descr="Risultati immagini per filter png">
              <a:extLst>
                <a:ext uri="{FF2B5EF4-FFF2-40B4-BE49-F238E27FC236}">
                  <a16:creationId xmlns:a16="http://schemas.microsoft.com/office/drawing/2014/main" id="{00000000-0008-0000-0100-00005D000000}"/>
                </a:ext>
              </a:extLst>
            </xdr:cNvPr>
            <xdr:cNvPicPr>
              <a:picLocks noChangeAspect="1" noChangeArrowheads="1"/>
            </xdr:cNvPicPr>
          </xdr:nvPicPr>
          <xdr:blipFill>
            <a:blip xmlns:r="http://schemas.openxmlformats.org/officeDocument/2006/relationships" r:embed="rId2"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2363450" y="8269059"/>
              <a:ext cx="190500" cy="190050"/>
            </a:xfrm>
            <a:prstGeom prst="rect">
              <a:avLst/>
            </a:prstGeom>
            <a:solidFill>
              <a:schemeClr val="bg1">
                <a:lumMod val="95000"/>
              </a:schemeClr>
            </a:solidFill>
            <a:extLst/>
          </xdr:spPr>
        </xdr:pic>
      </xdr:grpSp>
      <xdr:sp macro="" textlink="">
        <xdr:nvSpPr>
          <xdr:cNvPr id="94" name="CasellaDiTesto 93">
            <a:extLst>
              <a:ext uri="{FF2B5EF4-FFF2-40B4-BE49-F238E27FC236}">
                <a16:creationId xmlns:a16="http://schemas.microsoft.com/office/drawing/2014/main" id="{00000000-0008-0000-0100-00005E000000}"/>
              </a:ext>
            </a:extLst>
          </xdr:cNvPr>
          <xdr:cNvSpPr txBox="1"/>
        </xdr:nvSpPr>
        <xdr:spPr>
          <a:xfrm>
            <a:off x="10506075" y="5114924"/>
            <a:ext cx="1667561" cy="406389"/>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1800" b="1">
                <a:solidFill>
                  <a:schemeClr val="bg2">
                    <a:lumMod val="75000"/>
                  </a:schemeClr>
                </a:solidFill>
                <a:latin typeface="Arial" panose="020B0604020202020204" pitchFamily="34" charset="0"/>
                <a:cs typeface="Arial" panose="020B0604020202020204" pitchFamily="34" charset="0"/>
              </a:rPr>
              <a:t>Non-Financial</a:t>
            </a:r>
            <a:endParaRPr lang="it-IT" sz="1800" b="0">
              <a:solidFill>
                <a:schemeClr val="bg2">
                  <a:lumMod val="75000"/>
                </a:schemeClr>
              </a:solidFill>
              <a:latin typeface="Arial" panose="020B0604020202020204" pitchFamily="34" charset="0"/>
              <a:cs typeface="Arial" panose="020B0604020202020204" pitchFamily="34" charset="0"/>
            </a:endParaRPr>
          </a:p>
        </xdr:txBody>
      </xdr:sp>
      <xdr:cxnSp macro="">
        <xdr:nvCxnSpPr>
          <xdr:cNvPr id="95" name="Connettore diritto 94">
            <a:extLst>
              <a:ext uri="{FF2B5EF4-FFF2-40B4-BE49-F238E27FC236}">
                <a16:creationId xmlns:a16="http://schemas.microsoft.com/office/drawing/2014/main" id="{00000000-0008-0000-0100-00005F000000}"/>
              </a:ext>
            </a:extLst>
          </xdr:cNvPr>
          <xdr:cNvCxnSpPr/>
        </xdr:nvCxnSpPr>
        <xdr:spPr>
          <a:xfrm>
            <a:off x="10594521" y="5468181"/>
            <a:ext cx="1548000" cy="0"/>
          </a:xfrm>
          <a:prstGeom prst="line">
            <a:avLst/>
          </a:prstGeom>
          <a:ln w="25400">
            <a:solidFill>
              <a:schemeClr val="accent4"/>
            </a:solidFill>
          </a:ln>
        </xdr:spPr>
        <xdr:style>
          <a:lnRef idx="1">
            <a:schemeClr val="accent1"/>
          </a:lnRef>
          <a:fillRef idx="0">
            <a:schemeClr val="accent1"/>
          </a:fillRef>
          <a:effectRef idx="0">
            <a:schemeClr val="accent1"/>
          </a:effectRef>
          <a:fontRef idx="minor">
            <a:schemeClr val="tx1"/>
          </a:fontRef>
        </xdr:style>
      </xdr:cxnSp>
      <xdr:sp macro="" textlink="">
        <xdr:nvSpPr>
          <xdr:cNvPr id="96" name="CasellaDiTesto 95">
            <a:extLst>
              <a:ext uri="{FF2B5EF4-FFF2-40B4-BE49-F238E27FC236}">
                <a16:creationId xmlns:a16="http://schemas.microsoft.com/office/drawing/2014/main" id="{00000000-0008-0000-0100-000060000000}"/>
              </a:ext>
            </a:extLst>
          </xdr:cNvPr>
          <xdr:cNvSpPr txBox="1"/>
        </xdr:nvSpPr>
        <xdr:spPr>
          <a:xfrm>
            <a:off x="8953500" y="5554434"/>
            <a:ext cx="1123950" cy="406389"/>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1400" b="1">
                <a:solidFill>
                  <a:schemeClr val="bg2">
                    <a:lumMod val="75000"/>
                  </a:schemeClr>
                </a:solidFill>
                <a:latin typeface="Arial" panose="020B0604020202020204" pitchFamily="34" charset="0"/>
                <a:cs typeface="Arial" panose="020B0604020202020204" pitchFamily="34" charset="0"/>
              </a:rPr>
              <a:t>Emissions*</a:t>
            </a:r>
            <a:endParaRPr lang="it-IT" sz="1400" b="0">
              <a:solidFill>
                <a:schemeClr val="bg2">
                  <a:lumMod val="75000"/>
                </a:schemeClr>
              </a:solidFill>
            </a:endParaRPr>
          </a:p>
        </xdr:txBody>
      </xdr:sp>
      <xdr:sp macro="" textlink="">
        <xdr:nvSpPr>
          <xdr:cNvPr id="97" name="CasellaDiTesto 96">
            <a:extLst>
              <a:ext uri="{FF2B5EF4-FFF2-40B4-BE49-F238E27FC236}">
                <a16:creationId xmlns:a16="http://schemas.microsoft.com/office/drawing/2014/main" id="{00000000-0008-0000-0100-000061000000}"/>
              </a:ext>
            </a:extLst>
          </xdr:cNvPr>
          <xdr:cNvSpPr txBox="1"/>
        </xdr:nvSpPr>
        <xdr:spPr>
          <a:xfrm>
            <a:off x="12811125" y="5554434"/>
            <a:ext cx="1123950" cy="406389"/>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1400" b="1">
                <a:solidFill>
                  <a:schemeClr val="bg2">
                    <a:lumMod val="75000"/>
                  </a:schemeClr>
                </a:solidFill>
                <a:latin typeface="Arial" panose="020B0604020202020204" pitchFamily="34" charset="0"/>
                <a:cs typeface="Arial" panose="020B0604020202020204" pitchFamily="34" charset="0"/>
              </a:rPr>
              <a:t>Customers</a:t>
            </a:r>
            <a:endParaRPr lang="it-IT" sz="1400" b="0">
              <a:solidFill>
                <a:schemeClr val="bg2">
                  <a:lumMod val="75000"/>
                </a:schemeClr>
              </a:solidFill>
            </a:endParaRPr>
          </a:p>
        </xdr:txBody>
      </xdr:sp>
      <xdr:sp macro="" textlink="">
        <xdr:nvSpPr>
          <xdr:cNvPr id="62" name="CasellaDiTesto 61">
            <a:extLst>
              <a:ext uri="{FF2B5EF4-FFF2-40B4-BE49-F238E27FC236}">
                <a16:creationId xmlns:a16="http://schemas.microsoft.com/office/drawing/2014/main" id="{00000000-0008-0000-0100-00003E000000}"/>
              </a:ext>
            </a:extLst>
          </xdr:cNvPr>
          <xdr:cNvSpPr txBox="1"/>
        </xdr:nvSpPr>
        <xdr:spPr>
          <a:xfrm>
            <a:off x="7639050" y="7981950"/>
            <a:ext cx="399570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800">
                <a:solidFill>
                  <a:schemeClr val="bg2">
                    <a:lumMod val="75000"/>
                  </a:schemeClr>
                </a:solidFill>
              </a:rPr>
              <a:t>*- Air Emissions (kton)  -</a:t>
            </a:r>
            <a:r>
              <a:rPr lang="it-IT" sz="800" baseline="0">
                <a:solidFill>
                  <a:schemeClr val="bg2">
                    <a:lumMod val="75000"/>
                  </a:schemeClr>
                </a:solidFill>
              </a:rPr>
              <a:t> </a:t>
            </a:r>
            <a:r>
              <a:rPr lang="it-IT" sz="800">
                <a:solidFill>
                  <a:schemeClr val="bg2">
                    <a:lumMod val="75000"/>
                  </a:schemeClr>
                </a:solidFill>
              </a:rPr>
              <a:t>CO2</a:t>
            </a:r>
            <a:r>
              <a:rPr lang="it-IT" sz="800" baseline="0">
                <a:solidFill>
                  <a:schemeClr val="bg2">
                    <a:lumMod val="75000"/>
                  </a:schemeClr>
                </a:solidFill>
              </a:rPr>
              <a:t> Emissions (kton of CO2 eq)   - </a:t>
            </a:r>
            <a:r>
              <a:rPr lang="it-IT" sz="800">
                <a:solidFill>
                  <a:schemeClr val="bg2">
                    <a:lumMod val="75000"/>
                  </a:schemeClr>
                </a:solidFill>
              </a:rPr>
              <a:t>Carbon</a:t>
            </a:r>
            <a:r>
              <a:rPr lang="it-IT" sz="800" baseline="0">
                <a:solidFill>
                  <a:schemeClr val="bg2">
                    <a:lumMod val="75000"/>
                  </a:schemeClr>
                </a:solidFill>
              </a:rPr>
              <a:t> Intensity (gross kg/kWh)</a:t>
            </a:r>
            <a:endParaRPr lang="it-IT" sz="800">
              <a:solidFill>
                <a:schemeClr val="bg2">
                  <a:lumMod val="75000"/>
                </a:schemeClr>
              </a:solidFill>
            </a:endParaRPr>
          </a:p>
        </xdr:txBody>
      </xdr:sp>
    </xdr:grpSp>
    <xdr:clientData/>
  </xdr:twoCellAnchor>
  <xdr:oneCellAnchor>
    <xdr:from>
      <xdr:col>2</xdr:col>
      <xdr:colOff>257175</xdr:colOff>
      <xdr:row>5</xdr:row>
      <xdr:rowOff>76200</xdr:rowOff>
    </xdr:from>
    <xdr:ext cx="184731" cy="264560"/>
    <xdr:sp macro="" textlink="">
      <xdr:nvSpPr>
        <xdr:cNvPr id="12" name="CasellaDiTesto 11">
          <a:extLst>
            <a:ext uri="{FF2B5EF4-FFF2-40B4-BE49-F238E27FC236}">
              <a16:creationId xmlns:a16="http://schemas.microsoft.com/office/drawing/2014/main" id="{00000000-0008-0000-0100-00000C000000}"/>
            </a:ext>
          </a:extLst>
        </xdr:cNvPr>
        <xdr:cNvSpPr txBox="1"/>
      </xdr:nvSpPr>
      <xdr:spPr>
        <a:xfrm>
          <a:off x="1476375" y="100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twoCellAnchor>
    <xdr:from>
      <xdr:col>0</xdr:col>
      <xdr:colOff>38100</xdr:colOff>
      <xdr:row>4</xdr:row>
      <xdr:rowOff>68034</xdr:rowOff>
    </xdr:from>
    <xdr:to>
      <xdr:col>23</xdr:col>
      <xdr:colOff>549089</xdr:colOff>
      <xdr:row>9</xdr:row>
      <xdr:rowOff>170027</xdr:rowOff>
    </xdr:to>
    <xdr:grpSp>
      <xdr:nvGrpSpPr>
        <xdr:cNvPr id="64" name="Gruppo 63">
          <a:extLst>
            <a:ext uri="{FF2B5EF4-FFF2-40B4-BE49-F238E27FC236}">
              <a16:creationId xmlns:a16="http://schemas.microsoft.com/office/drawing/2014/main" id="{00000000-0008-0000-0100-000040000000}"/>
            </a:ext>
          </a:extLst>
        </xdr:cNvPr>
        <xdr:cNvGrpSpPr/>
      </xdr:nvGrpSpPr>
      <xdr:grpSpPr>
        <a:xfrm>
          <a:off x="38100" y="820509"/>
          <a:ext cx="14779439" cy="1006868"/>
          <a:chOff x="180975" y="906234"/>
          <a:chExt cx="14783366" cy="1006868"/>
        </a:xfrm>
      </xdr:grpSpPr>
      <xdr:sp macro="" textlink="">
        <xdr:nvSpPr>
          <xdr:cNvPr id="108" name="Rettangolo 107">
            <a:extLst>
              <a:ext uri="{FF2B5EF4-FFF2-40B4-BE49-F238E27FC236}">
                <a16:creationId xmlns:a16="http://schemas.microsoft.com/office/drawing/2014/main" id="{00000000-0008-0000-0100-00006C000000}"/>
              </a:ext>
            </a:extLst>
          </xdr:cNvPr>
          <xdr:cNvSpPr/>
        </xdr:nvSpPr>
        <xdr:spPr>
          <a:xfrm>
            <a:off x="180975" y="906234"/>
            <a:ext cx="14783366" cy="941616"/>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solidFill>
                <a:schemeClr val="bg2">
                  <a:lumMod val="75000"/>
                </a:schemeClr>
              </a:solidFill>
            </a:endParaRPr>
          </a:p>
        </xdr:txBody>
      </xdr:sp>
      <xdr:sp macro="" textlink="">
        <xdr:nvSpPr>
          <xdr:cNvPr id="13" name="CasellaDiTesto 12">
            <a:extLst>
              <a:ext uri="{FF2B5EF4-FFF2-40B4-BE49-F238E27FC236}">
                <a16:creationId xmlns:a16="http://schemas.microsoft.com/office/drawing/2014/main" id="{00000000-0008-0000-0100-00000D000000}"/>
              </a:ext>
            </a:extLst>
          </xdr:cNvPr>
          <xdr:cNvSpPr txBox="1"/>
        </xdr:nvSpPr>
        <xdr:spPr>
          <a:xfrm>
            <a:off x="342900" y="1009650"/>
            <a:ext cx="8290433" cy="903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b="1">
                <a:solidFill>
                  <a:schemeClr val="bg2">
                    <a:lumMod val="75000"/>
                  </a:schemeClr>
                </a:solidFill>
                <a:latin typeface="Arial" panose="020B0604020202020204" pitchFamily="34" charset="0"/>
                <a:cs typeface="Arial" panose="020B0604020202020204" pitchFamily="34" charset="0"/>
              </a:rPr>
              <a:t>The Interactive</a:t>
            </a:r>
            <a:r>
              <a:rPr lang="it-IT" sz="1100" b="1" baseline="0">
                <a:solidFill>
                  <a:schemeClr val="bg2">
                    <a:lumMod val="75000"/>
                  </a:schemeClr>
                </a:solidFill>
                <a:latin typeface="Arial" panose="020B0604020202020204" pitchFamily="34" charset="0"/>
                <a:cs typeface="Arial" panose="020B0604020202020204" pitchFamily="34" charset="0"/>
              </a:rPr>
              <a:t> Dashboard aims to give a visual representation of the company profile at consolidated level. </a:t>
            </a:r>
          </a:p>
          <a:p>
            <a:r>
              <a:rPr lang="it-IT" sz="1100" b="1" baseline="0">
                <a:solidFill>
                  <a:schemeClr val="bg2">
                    <a:lumMod val="75000"/>
                  </a:schemeClr>
                </a:solidFill>
                <a:latin typeface="Arial" panose="020B0604020202020204" pitchFamily="34" charset="0"/>
                <a:cs typeface="Arial" panose="020B0604020202020204" pitchFamily="34" charset="0"/>
              </a:rPr>
              <a:t>Filters are by default set on individual selection. To select more than one item at the same time, there are 2 options:</a:t>
            </a:r>
          </a:p>
          <a:p>
            <a:r>
              <a:rPr lang="it-IT" sz="1100" b="1" baseline="0">
                <a:solidFill>
                  <a:schemeClr val="bg2">
                    <a:lumMod val="75000"/>
                  </a:schemeClr>
                </a:solidFill>
                <a:latin typeface="Arial" panose="020B0604020202020204" pitchFamily="34" charset="0"/>
                <a:cs typeface="Arial" panose="020B0604020202020204" pitchFamily="34" charset="0"/>
              </a:rPr>
              <a:t>	1) Pressing "Ctrl" while selecting them           </a:t>
            </a:r>
          </a:p>
          <a:p>
            <a:r>
              <a:rPr lang="it-IT" sz="1100" b="1" baseline="0">
                <a:solidFill>
                  <a:schemeClr val="bg2">
                    <a:lumMod val="75000"/>
                  </a:schemeClr>
                </a:solidFill>
                <a:latin typeface="Arial" panose="020B0604020202020204" pitchFamily="34" charset="0"/>
                <a:cs typeface="Arial" panose="020B0604020202020204" pitchFamily="34" charset="0"/>
              </a:rPr>
              <a:t>	2) Right-clicking the filter with the mouse and enabling the "Multi-Select" option, if and when appropriate    </a:t>
            </a:r>
          </a:p>
          <a:p>
            <a:r>
              <a:rPr lang="it-IT" sz="1100" b="1" baseline="0">
                <a:solidFill>
                  <a:schemeClr val="bg2">
                    <a:lumMod val="75000"/>
                  </a:schemeClr>
                </a:solidFill>
                <a:latin typeface="Arial" panose="020B0604020202020204" pitchFamily="34" charset="0"/>
                <a:cs typeface="Arial" panose="020B0604020202020204" pitchFamily="34" charset="0"/>
              </a:rPr>
              <a:t>	</a:t>
            </a:r>
            <a:endParaRPr lang="it-IT" sz="1100" b="1">
              <a:solidFill>
                <a:schemeClr val="bg2">
                  <a:lumMod val="75000"/>
                </a:schemeClr>
              </a:solidFill>
              <a:latin typeface="Arial" panose="020B0604020202020204" pitchFamily="34" charset="0"/>
              <a:cs typeface="Arial" panose="020B0604020202020204" pitchFamily="34" charset="0"/>
            </a:endParaRPr>
          </a:p>
        </xdr:txBody>
      </xdr:sp>
      <xdr:sp macro="" textlink="">
        <xdr:nvSpPr>
          <xdr:cNvPr id="63" name="Ovale 62">
            <a:extLst>
              <a:ext uri="{FF2B5EF4-FFF2-40B4-BE49-F238E27FC236}">
                <a16:creationId xmlns:a16="http://schemas.microsoft.com/office/drawing/2014/main" id="{00000000-0008-0000-0100-00003F000000}"/>
              </a:ext>
            </a:extLst>
          </xdr:cNvPr>
          <xdr:cNvSpPr>
            <a:spLocks noChangeAspect="1"/>
          </xdr:cNvSpPr>
        </xdr:nvSpPr>
        <xdr:spPr>
          <a:xfrm>
            <a:off x="304800" y="1095375"/>
            <a:ext cx="57150" cy="56978"/>
          </a:xfrm>
          <a:prstGeom prst="ellipse">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sp macro="" textlink="">
        <xdr:nvSpPr>
          <xdr:cNvPr id="109" name="Ovale 108">
            <a:extLst>
              <a:ext uri="{FF2B5EF4-FFF2-40B4-BE49-F238E27FC236}">
                <a16:creationId xmlns:a16="http://schemas.microsoft.com/office/drawing/2014/main" id="{00000000-0008-0000-0100-00006D000000}"/>
              </a:ext>
            </a:extLst>
          </xdr:cNvPr>
          <xdr:cNvSpPr>
            <a:spLocks noChangeAspect="1"/>
          </xdr:cNvSpPr>
        </xdr:nvSpPr>
        <xdr:spPr>
          <a:xfrm>
            <a:off x="304800" y="1304925"/>
            <a:ext cx="57150" cy="56978"/>
          </a:xfrm>
          <a:prstGeom prst="ellipse">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grpSp>
    <xdr:clientData/>
  </xdr:twoCellAnchor>
  <xdr:twoCellAnchor editAs="absolute">
    <xdr:from>
      <xdr:col>0</xdr:col>
      <xdr:colOff>38099</xdr:colOff>
      <xdr:row>0</xdr:row>
      <xdr:rowOff>29934</xdr:rowOff>
    </xdr:from>
    <xdr:to>
      <xdr:col>23</xdr:col>
      <xdr:colOff>550658</xdr:colOff>
      <xdr:row>4</xdr:row>
      <xdr:rowOff>42984</xdr:rowOff>
    </xdr:to>
    <xdr:grpSp>
      <xdr:nvGrpSpPr>
        <xdr:cNvPr id="87" name="Gruppo 86">
          <a:extLst>
            <a:ext uri="{FF2B5EF4-FFF2-40B4-BE49-F238E27FC236}">
              <a16:creationId xmlns:a16="http://schemas.microsoft.com/office/drawing/2014/main" id="{00000000-0008-0000-0100-000057000000}"/>
            </a:ext>
          </a:extLst>
        </xdr:cNvPr>
        <xdr:cNvGrpSpPr/>
      </xdr:nvGrpSpPr>
      <xdr:grpSpPr>
        <a:xfrm>
          <a:off x="38099" y="29934"/>
          <a:ext cx="14781009" cy="765525"/>
          <a:chOff x="180974" y="58509"/>
          <a:chExt cx="14784946" cy="756000"/>
        </a:xfrm>
      </xdr:grpSpPr>
      <xdr:grpSp>
        <xdr:nvGrpSpPr>
          <xdr:cNvPr id="65" name="Gruppo 64">
            <a:extLst>
              <a:ext uri="{FF2B5EF4-FFF2-40B4-BE49-F238E27FC236}">
                <a16:creationId xmlns:a16="http://schemas.microsoft.com/office/drawing/2014/main" id="{00000000-0008-0000-0100-000041000000}"/>
              </a:ext>
            </a:extLst>
          </xdr:cNvPr>
          <xdr:cNvGrpSpPr/>
        </xdr:nvGrpSpPr>
        <xdr:grpSpPr>
          <a:xfrm>
            <a:off x="180974" y="58509"/>
            <a:ext cx="14784946" cy="756000"/>
            <a:chOff x="180974" y="58509"/>
            <a:chExt cx="14784946" cy="756000"/>
          </a:xfrm>
        </xdr:grpSpPr>
        <xdr:sp macro="" textlink="">
          <xdr:nvSpPr>
            <xdr:cNvPr id="84" name="Rettangolo 83">
              <a:extLst>
                <a:ext uri="{FF2B5EF4-FFF2-40B4-BE49-F238E27FC236}">
                  <a16:creationId xmlns:a16="http://schemas.microsoft.com/office/drawing/2014/main" id="{00000000-0008-0000-0100-000054000000}"/>
                </a:ext>
              </a:extLst>
            </xdr:cNvPr>
            <xdr:cNvSpPr/>
          </xdr:nvSpPr>
          <xdr:spPr>
            <a:xfrm>
              <a:off x="180974" y="58509"/>
              <a:ext cx="14784946" cy="7560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pic>
          <xdr:nvPicPr>
            <xdr:cNvPr id="85" name="Immagine 84">
              <a:extLst>
                <a:ext uri="{FF2B5EF4-FFF2-40B4-BE49-F238E27FC236}">
                  <a16:creationId xmlns:a16="http://schemas.microsoft.com/office/drawing/2014/main" id="{00000000-0008-0000-0100-00005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91165" y="180974"/>
              <a:ext cx="1344709" cy="457201"/>
            </a:xfrm>
            <a:prstGeom prst="rect">
              <a:avLst/>
            </a:prstGeom>
          </xdr:spPr>
        </xdr:pic>
      </xdr:grpSp>
      <xdr:sp macro="" textlink="">
        <xdr:nvSpPr>
          <xdr:cNvPr id="86" name="CasellaDiTesto 85">
            <a:extLst>
              <a:ext uri="{FF2B5EF4-FFF2-40B4-BE49-F238E27FC236}">
                <a16:creationId xmlns:a16="http://schemas.microsoft.com/office/drawing/2014/main" id="{00000000-0008-0000-0100-000056000000}"/>
              </a:ext>
            </a:extLst>
          </xdr:cNvPr>
          <xdr:cNvSpPr txBox="1"/>
        </xdr:nvSpPr>
        <xdr:spPr>
          <a:xfrm>
            <a:off x="5596591" y="152399"/>
            <a:ext cx="4576110" cy="600076"/>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2800" b="1" u="none">
                <a:solidFill>
                  <a:schemeClr val="tx2"/>
                </a:solidFill>
                <a:latin typeface="Arial" panose="020B0604020202020204" pitchFamily="34" charset="0"/>
                <a:cs typeface="Arial" panose="020B0604020202020204" pitchFamily="34" charset="0"/>
              </a:rPr>
              <a:t>Interactive</a:t>
            </a:r>
            <a:r>
              <a:rPr lang="it-IT" sz="2800" b="1" u="none" baseline="0">
                <a:solidFill>
                  <a:schemeClr val="tx2"/>
                </a:solidFill>
                <a:latin typeface="Arial" panose="020B0604020202020204" pitchFamily="34" charset="0"/>
                <a:cs typeface="Arial" panose="020B0604020202020204" pitchFamily="34" charset="0"/>
              </a:rPr>
              <a:t> Dashboard</a:t>
            </a:r>
            <a:endParaRPr lang="it-IT" sz="2800" b="0" u="none">
              <a:solidFill>
                <a:schemeClr val="tx2"/>
              </a:solidFill>
              <a:latin typeface="Arial" panose="020B0604020202020204" pitchFamily="34" charset="0"/>
              <a:cs typeface="Arial" panose="020B0604020202020204" pitchFamily="34" charset="0"/>
            </a:endParaRPr>
          </a:p>
        </xdr:txBody>
      </xdr:sp>
      <xdr:cxnSp macro="">
        <xdr:nvCxnSpPr>
          <xdr:cNvPr id="88" name="Connettore diritto 87">
            <a:extLst>
              <a:ext uri="{FF2B5EF4-FFF2-40B4-BE49-F238E27FC236}">
                <a16:creationId xmlns:a16="http://schemas.microsoft.com/office/drawing/2014/main" id="{00000000-0008-0000-0100-000058000000}"/>
              </a:ext>
            </a:extLst>
          </xdr:cNvPr>
          <xdr:cNvCxnSpPr/>
        </xdr:nvCxnSpPr>
        <xdr:spPr>
          <a:xfrm>
            <a:off x="5682316" y="619124"/>
            <a:ext cx="3744000" cy="0"/>
          </a:xfrm>
          <a:prstGeom prst="line">
            <a:avLst/>
          </a:prstGeom>
          <a:ln w="25400">
            <a:solidFill>
              <a:schemeClr val="accent3"/>
            </a:solidFill>
          </a:ln>
        </xdr:spPr>
        <xdr:style>
          <a:lnRef idx="1">
            <a:schemeClr val="accent1"/>
          </a:lnRef>
          <a:fillRef idx="0">
            <a:schemeClr val="accent1"/>
          </a:fillRef>
          <a:effectRef idx="0">
            <a:schemeClr val="accent1"/>
          </a:effectRef>
          <a:fontRef idx="minor">
            <a:schemeClr val="tx1"/>
          </a:fontRef>
        </xdr:style>
      </xdr:cxnSp>
      <xdr:pic>
        <xdr:nvPicPr>
          <xdr:cNvPr id="110" name="Elemento grafico 109" descr="Elenco">
            <a:hlinkClick xmlns:r="http://schemas.openxmlformats.org/officeDocument/2006/relationships" r:id="rId8"/>
            <a:extLst>
              <a:ext uri="{FF2B5EF4-FFF2-40B4-BE49-F238E27FC236}">
                <a16:creationId xmlns:a16="http://schemas.microsoft.com/office/drawing/2014/main" id="{00000000-0008-0000-0100-00006E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14306550" y="172809"/>
            <a:ext cx="514350" cy="514350"/>
          </a:xfrm>
          <a:prstGeom prst="rect">
            <a:avLst/>
          </a:prstGeom>
        </xdr:spPr>
      </xdr:pic>
    </xdr:grpSp>
    <xdr:clientData/>
  </xdr:twoCellAnchor>
  <xdr:twoCellAnchor>
    <xdr:from>
      <xdr:col>0</xdr:col>
      <xdr:colOff>38099</xdr:colOff>
      <xdr:row>102</xdr:row>
      <xdr:rowOff>65833</xdr:rowOff>
    </xdr:from>
    <xdr:to>
      <xdr:col>23</xdr:col>
      <xdr:colOff>550903</xdr:colOff>
      <xdr:row>142</xdr:row>
      <xdr:rowOff>65834</xdr:rowOff>
    </xdr:to>
    <xdr:grpSp>
      <xdr:nvGrpSpPr>
        <xdr:cNvPr id="1030" name="Gruppo 1029">
          <a:extLst>
            <a:ext uri="{FF2B5EF4-FFF2-40B4-BE49-F238E27FC236}">
              <a16:creationId xmlns:a16="http://schemas.microsoft.com/office/drawing/2014/main" id="{00000000-0008-0000-0100-000006040000}"/>
            </a:ext>
          </a:extLst>
        </xdr:cNvPr>
        <xdr:cNvGrpSpPr/>
      </xdr:nvGrpSpPr>
      <xdr:grpSpPr>
        <a:xfrm>
          <a:off x="38099" y="18572908"/>
          <a:ext cx="14781254" cy="7239001"/>
          <a:chOff x="171450" y="10315574"/>
          <a:chExt cx="14778261" cy="7239001"/>
        </a:xfrm>
      </xdr:grpSpPr>
      <xdr:grpSp>
        <xdr:nvGrpSpPr>
          <xdr:cNvPr id="1025" name="Gruppo 1024">
            <a:extLst>
              <a:ext uri="{FF2B5EF4-FFF2-40B4-BE49-F238E27FC236}">
                <a16:creationId xmlns:a16="http://schemas.microsoft.com/office/drawing/2014/main" id="{00000000-0008-0000-0100-000001040000}"/>
              </a:ext>
            </a:extLst>
          </xdr:cNvPr>
          <xdr:cNvGrpSpPr/>
        </xdr:nvGrpSpPr>
        <xdr:grpSpPr>
          <a:xfrm>
            <a:off x="171450" y="10315574"/>
            <a:ext cx="14778261" cy="7239001"/>
            <a:chOff x="171450" y="10315574"/>
            <a:chExt cx="14778261" cy="7239001"/>
          </a:xfrm>
        </xdr:grpSpPr>
        <xdr:grpSp>
          <xdr:nvGrpSpPr>
            <xdr:cNvPr id="1029" name="Gruppo 1028">
              <a:extLst>
                <a:ext uri="{FF2B5EF4-FFF2-40B4-BE49-F238E27FC236}">
                  <a16:creationId xmlns:a16="http://schemas.microsoft.com/office/drawing/2014/main" id="{00000000-0008-0000-0100-000005040000}"/>
                </a:ext>
              </a:extLst>
            </xdr:cNvPr>
            <xdr:cNvGrpSpPr/>
          </xdr:nvGrpSpPr>
          <xdr:grpSpPr>
            <a:xfrm>
              <a:off x="171450" y="10315574"/>
              <a:ext cx="14778261" cy="7239001"/>
              <a:chOff x="171450" y="10315574"/>
              <a:chExt cx="14778261" cy="7239001"/>
            </a:xfrm>
          </xdr:grpSpPr>
          <xdr:grpSp>
            <xdr:nvGrpSpPr>
              <xdr:cNvPr id="1028" name="Gruppo 1027">
                <a:extLst>
                  <a:ext uri="{FF2B5EF4-FFF2-40B4-BE49-F238E27FC236}">
                    <a16:creationId xmlns:a16="http://schemas.microsoft.com/office/drawing/2014/main" id="{00000000-0008-0000-0100-000004040000}"/>
                  </a:ext>
                </a:extLst>
              </xdr:cNvPr>
              <xdr:cNvGrpSpPr/>
            </xdr:nvGrpSpPr>
            <xdr:grpSpPr>
              <a:xfrm>
                <a:off x="171450" y="10315574"/>
                <a:ext cx="14778261" cy="7239001"/>
                <a:chOff x="171450" y="10315574"/>
                <a:chExt cx="14778261" cy="7239001"/>
              </a:xfrm>
            </xdr:grpSpPr>
            <xdr:sp macro="" textlink="">
              <xdr:nvSpPr>
                <xdr:cNvPr id="114" name="Rettangolo 113">
                  <a:extLst>
                    <a:ext uri="{FF2B5EF4-FFF2-40B4-BE49-F238E27FC236}">
                      <a16:creationId xmlns:a16="http://schemas.microsoft.com/office/drawing/2014/main" id="{00000000-0008-0000-0100-000072000000}"/>
                    </a:ext>
                  </a:extLst>
                </xdr:cNvPr>
                <xdr:cNvSpPr/>
              </xdr:nvSpPr>
              <xdr:spPr>
                <a:xfrm>
                  <a:off x="171450" y="10315574"/>
                  <a:ext cx="14778261" cy="7105652"/>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grpSp>
              <xdr:nvGrpSpPr>
                <xdr:cNvPr id="126" name="Gruppo 125">
                  <a:extLst>
                    <a:ext uri="{FF2B5EF4-FFF2-40B4-BE49-F238E27FC236}">
                      <a16:creationId xmlns:a16="http://schemas.microsoft.com/office/drawing/2014/main" id="{00000000-0008-0000-0100-00007E000000}"/>
                    </a:ext>
                  </a:extLst>
                </xdr:cNvPr>
                <xdr:cNvGrpSpPr/>
              </xdr:nvGrpSpPr>
              <xdr:grpSpPr>
                <a:xfrm>
                  <a:off x="3019443" y="11197068"/>
                  <a:ext cx="9153504" cy="2796083"/>
                  <a:chOff x="3010938" y="11245562"/>
                  <a:chExt cx="9122560" cy="2809429"/>
                </a:xfrm>
              </xdr:grpSpPr>
              <xdr:grpSp>
                <xdr:nvGrpSpPr>
                  <xdr:cNvPr id="124" name="Gruppo 123">
                    <a:extLst>
                      <a:ext uri="{FF2B5EF4-FFF2-40B4-BE49-F238E27FC236}">
                        <a16:creationId xmlns:a16="http://schemas.microsoft.com/office/drawing/2014/main" id="{00000000-0008-0000-0100-00007C000000}"/>
                      </a:ext>
                    </a:extLst>
                  </xdr:cNvPr>
                  <xdr:cNvGrpSpPr/>
                </xdr:nvGrpSpPr>
                <xdr:grpSpPr>
                  <a:xfrm>
                    <a:off x="3010938" y="11245562"/>
                    <a:ext cx="9122560" cy="2756189"/>
                    <a:chOff x="3152456" y="10701058"/>
                    <a:chExt cx="9635936" cy="2717987"/>
                  </a:xfrm>
                </xdr:grpSpPr>
                <mc:AlternateContent xmlns:mc="http://schemas.openxmlformats.org/markup-compatibility/2006">
                  <mc:Choice xmlns:cx1="http://schemas.microsoft.com/office/drawing/2015/9/8/chartex" Requires="cx1">
                    <xdr:graphicFrame macro="">
                      <xdr:nvGraphicFramePr>
                        <xdr:cNvPr id="115" name="Grafico 114">
                          <a:extLst>
                            <a:ext uri="{FF2B5EF4-FFF2-40B4-BE49-F238E27FC236}">
                              <a16:creationId xmlns:a16="http://schemas.microsoft.com/office/drawing/2014/main" id="{00000000-0008-0000-0100-000073000000}"/>
                            </a:ext>
                          </a:extLst>
                        </xdr:cNvPr>
                        <xdr:cNvGraphicFramePr/>
                      </xdr:nvGraphicFramePr>
                      <xdr:xfrm>
                        <a:off x="3152456" y="10701058"/>
                        <a:ext cx="9635936" cy="2717987"/>
                      </xdr:xfrm>
                      <a:graphic>
                        <a:graphicData uri="http://schemas.microsoft.com/office/drawing/2014/chartex">
                          <cx:chart xmlns:cx="http://schemas.microsoft.com/office/drawing/2014/chartex" xmlns:r="http://schemas.openxmlformats.org/officeDocument/2006/relationships" r:id="rId11"/>
                        </a:graphicData>
                      </a:graphic>
                    </xdr:graphicFrame>
                  </mc:Choice>
                  <mc:Fallback>
                    <xdr:sp macro="" textlink="">
                      <xdr:nvSpPr>
                        <xdr:cNvPr id="0" name=""/>
                        <xdr:cNvSpPr>
                          <a:spLocks noTextEdit="1"/>
                        </xdr:cNvSpPr>
                      </xdr:nvSpPr>
                      <xdr:spPr>
                        <a:xfrm>
                          <a:off x="3152456" y="10701058"/>
                          <a:ext cx="9635936" cy="2717987"/>
                        </a:xfrm>
                        <a:prstGeom prst="rect">
                          <a:avLst/>
                        </a:prstGeom>
                        <a:solidFill>
                          <a:prstClr val="white"/>
                        </a:solidFill>
                        <a:ln w="1">
                          <a:solidFill>
                            <a:prstClr val="green"/>
                          </a:solidFill>
                        </a:ln>
                      </xdr:spPr>
                      <xdr:txBody>
                        <a:bodyPr vertOverflow="clip" horzOverflow="clip"/>
                        <a:lstStyle/>
                        <a:p>
                          <a:r>
                            <a:rPr lang="it-IT" sz="1100"/>
                            <a:t>Il grafico non è disponibile in questa versione di Excel.
Se si modifica questa forma o si salva la cartella di lavoro in un formato di file diverso, il grafico verrà danneggiato in modo permanente.</a:t>
                          </a:r>
                        </a:p>
                      </xdr:txBody>
                    </xdr:sp>
                  </mc:Fallback>
                </mc:AlternateContent>
                <xdr:sp macro="" textlink="">
                  <xdr:nvSpPr>
                    <xdr:cNvPr id="83" name="CasellaDiTesto 82">
                      <a:extLst>
                        <a:ext uri="{FF2B5EF4-FFF2-40B4-BE49-F238E27FC236}">
                          <a16:creationId xmlns:a16="http://schemas.microsoft.com/office/drawing/2014/main" id="{00000000-0008-0000-0100-000053000000}"/>
                        </a:ext>
                      </a:extLst>
                    </xdr:cNvPr>
                    <xdr:cNvSpPr txBox="1"/>
                  </xdr:nvSpPr>
                  <xdr:spPr>
                    <a:xfrm>
                      <a:off x="3567211" y="12237422"/>
                      <a:ext cx="618510" cy="25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t-IT" sz="1100" b="1">
                          <a:solidFill>
                            <a:schemeClr val="bg1"/>
                          </a:solidFill>
                          <a:latin typeface="Arial" panose="020B0604020202020204" pitchFamily="34" charset="0"/>
                          <a:cs typeface="Arial" panose="020B0604020202020204" pitchFamily="34" charset="0"/>
                        </a:rPr>
                        <a:t>116</a:t>
                      </a:r>
                    </a:p>
                  </xdr:txBody>
                </xdr:sp>
                <xdr:sp macro="" textlink="">
                  <xdr:nvSpPr>
                    <xdr:cNvPr id="116" name="CasellaDiTesto 115">
                      <a:extLst>
                        <a:ext uri="{FF2B5EF4-FFF2-40B4-BE49-F238E27FC236}">
                          <a16:creationId xmlns:a16="http://schemas.microsoft.com/office/drawing/2014/main" id="{00000000-0008-0000-0100-000074000000}"/>
                        </a:ext>
                      </a:extLst>
                    </xdr:cNvPr>
                    <xdr:cNvSpPr txBox="1"/>
                  </xdr:nvSpPr>
                  <xdr:spPr>
                    <a:xfrm>
                      <a:off x="4780662" y="11579735"/>
                      <a:ext cx="618510" cy="25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t-IT" sz="1100" b="1">
                          <a:solidFill>
                            <a:schemeClr val="bg1"/>
                          </a:solidFill>
                          <a:latin typeface="Arial" panose="020B0604020202020204" pitchFamily="34" charset="0"/>
                          <a:cs typeface="Arial" panose="020B0604020202020204" pitchFamily="34" charset="0"/>
                        </a:rPr>
                        <a:t>793</a:t>
                      </a:r>
                    </a:p>
                  </xdr:txBody>
                </xdr:sp>
                <xdr:sp macro="" textlink="">
                  <xdr:nvSpPr>
                    <xdr:cNvPr id="117" name="CasellaDiTesto 116">
                      <a:extLst>
                        <a:ext uri="{FF2B5EF4-FFF2-40B4-BE49-F238E27FC236}">
                          <a16:creationId xmlns:a16="http://schemas.microsoft.com/office/drawing/2014/main" id="{00000000-0008-0000-0100-000075000000}"/>
                        </a:ext>
                      </a:extLst>
                    </xdr:cNvPr>
                    <xdr:cNvSpPr txBox="1"/>
                  </xdr:nvSpPr>
                  <xdr:spPr>
                    <a:xfrm>
                      <a:off x="8303681" y="11060380"/>
                      <a:ext cx="677907" cy="25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t-IT" sz="1100" b="1">
                          <a:solidFill>
                            <a:schemeClr val="bg1"/>
                          </a:solidFill>
                          <a:latin typeface="Arial" panose="020B0604020202020204" pitchFamily="34" charset="0"/>
                          <a:cs typeface="Arial" panose="020B0604020202020204" pitchFamily="34" charset="0"/>
                        </a:rPr>
                        <a:t>-110</a:t>
                      </a:r>
                    </a:p>
                  </xdr:txBody>
                </xdr:sp>
                <xdr:sp macro="" textlink="">
                  <xdr:nvSpPr>
                    <xdr:cNvPr id="118" name="CasellaDiTesto 117">
                      <a:extLst>
                        <a:ext uri="{FF2B5EF4-FFF2-40B4-BE49-F238E27FC236}">
                          <a16:creationId xmlns:a16="http://schemas.microsoft.com/office/drawing/2014/main" id="{00000000-0008-0000-0100-000076000000}"/>
                        </a:ext>
                      </a:extLst>
                    </xdr:cNvPr>
                    <xdr:cNvSpPr txBox="1"/>
                  </xdr:nvSpPr>
                  <xdr:spPr>
                    <a:xfrm>
                      <a:off x="9463387" y="11957101"/>
                      <a:ext cx="677907" cy="25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t-IT" sz="1100" b="1">
                          <a:solidFill>
                            <a:schemeClr val="bg1"/>
                          </a:solidFill>
                          <a:latin typeface="Arial" panose="020B0604020202020204" pitchFamily="34" charset="0"/>
                          <a:cs typeface="Arial" panose="020B0604020202020204" pitchFamily="34" charset="0"/>
                        </a:rPr>
                        <a:t>-838</a:t>
                      </a:r>
                    </a:p>
                  </xdr:txBody>
                </xdr:sp>
                <xdr:sp macro="" textlink="">
                  <xdr:nvSpPr>
                    <xdr:cNvPr id="119" name="CasellaDiTesto 118">
                      <a:extLst>
                        <a:ext uri="{FF2B5EF4-FFF2-40B4-BE49-F238E27FC236}">
                          <a16:creationId xmlns:a16="http://schemas.microsoft.com/office/drawing/2014/main" id="{00000000-0008-0000-0100-000077000000}"/>
                        </a:ext>
                      </a:extLst>
                    </xdr:cNvPr>
                    <xdr:cNvSpPr txBox="1"/>
                  </xdr:nvSpPr>
                  <xdr:spPr>
                    <a:xfrm>
                      <a:off x="10684713" y="12790093"/>
                      <a:ext cx="677907" cy="25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t-IT" sz="1100" b="1">
                          <a:solidFill>
                            <a:schemeClr val="bg1"/>
                          </a:solidFill>
                          <a:latin typeface="Arial" panose="020B0604020202020204" pitchFamily="34" charset="0"/>
                          <a:cs typeface="Arial" panose="020B0604020202020204" pitchFamily="34" charset="0"/>
                        </a:rPr>
                        <a:t>-106</a:t>
                      </a:r>
                    </a:p>
                  </xdr:txBody>
                </xdr:sp>
                <xdr:sp macro="" textlink="">
                  <xdr:nvSpPr>
                    <xdr:cNvPr id="120" name="CasellaDiTesto 119">
                      <a:extLst>
                        <a:ext uri="{FF2B5EF4-FFF2-40B4-BE49-F238E27FC236}">
                          <a16:creationId xmlns:a16="http://schemas.microsoft.com/office/drawing/2014/main" id="{00000000-0008-0000-0100-000078000000}"/>
                        </a:ext>
                      </a:extLst>
                    </xdr:cNvPr>
                    <xdr:cNvSpPr txBox="1"/>
                  </xdr:nvSpPr>
                  <xdr:spPr>
                    <a:xfrm>
                      <a:off x="5950534" y="11034431"/>
                      <a:ext cx="578724" cy="25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t-IT" sz="1100" b="1">
                          <a:solidFill>
                            <a:schemeClr val="bg2">
                              <a:lumMod val="50000"/>
                            </a:schemeClr>
                          </a:solidFill>
                          <a:latin typeface="Arial" panose="020B0604020202020204" pitchFamily="34" charset="0"/>
                          <a:cs typeface="Arial" panose="020B0604020202020204" pitchFamily="34" charset="0"/>
                        </a:rPr>
                        <a:t>-26</a:t>
                      </a:r>
                    </a:p>
                  </xdr:txBody>
                </xdr:sp>
                <xdr:sp macro="" textlink="">
                  <xdr:nvSpPr>
                    <xdr:cNvPr id="121" name="CasellaDiTesto 120">
                      <a:extLst>
                        <a:ext uri="{FF2B5EF4-FFF2-40B4-BE49-F238E27FC236}">
                          <a16:creationId xmlns:a16="http://schemas.microsoft.com/office/drawing/2014/main" id="{00000000-0008-0000-0100-000079000000}"/>
                        </a:ext>
                      </a:extLst>
                    </xdr:cNvPr>
                    <xdr:cNvSpPr txBox="1"/>
                  </xdr:nvSpPr>
                  <xdr:spPr>
                    <a:xfrm>
                      <a:off x="7137150" y="11063836"/>
                      <a:ext cx="578724" cy="25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t-IT" sz="1100" b="1">
                          <a:solidFill>
                            <a:schemeClr val="bg2">
                              <a:lumMod val="50000"/>
                            </a:schemeClr>
                          </a:solidFill>
                          <a:latin typeface="Arial" panose="020B0604020202020204" pitchFamily="34" charset="0"/>
                          <a:cs typeface="Arial" panose="020B0604020202020204" pitchFamily="34" charset="0"/>
                        </a:rPr>
                        <a:t>-13</a:t>
                      </a:r>
                    </a:p>
                  </xdr:txBody>
                </xdr:sp>
                <xdr:sp macro="" textlink="">
                  <xdr:nvSpPr>
                    <xdr:cNvPr id="122" name="CasellaDiTesto 121">
                      <a:extLst>
                        <a:ext uri="{FF2B5EF4-FFF2-40B4-BE49-F238E27FC236}">
                          <a16:creationId xmlns:a16="http://schemas.microsoft.com/office/drawing/2014/main" id="{00000000-0008-0000-0100-00007A000000}"/>
                        </a:ext>
                      </a:extLst>
                    </xdr:cNvPr>
                    <xdr:cNvSpPr txBox="1"/>
                  </xdr:nvSpPr>
                  <xdr:spPr>
                    <a:xfrm>
                      <a:off x="11885941" y="12529296"/>
                      <a:ext cx="618510" cy="25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t-IT" sz="1100" b="1">
                          <a:solidFill>
                            <a:schemeClr val="bg1"/>
                          </a:solidFill>
                          <a:latin typeface="Arial" panose="020B0604020202020204" pitchFamily="34" charset="0"/>
                          <a:cs typeface="Arial" panose="020B0604020202020204" pitchFamily="34" charset="0"/>
                        </a:rPr>
                        <a:t>416</a:t>
                      </a:r>
                    </a:p>
                  </xdr:txBody>
                </xdr:sp>
                <xdr:cxnSp macro="">
                  <xdr:nvCxnSpPr>
                    <xdr:cNvPr id="123" name="Connettore diritto 122">
                      <a:extLst>
                        <a:ext uri="{FF2B5EF4-FFF2-40B4-BE49-F238E27FC236}">
                          <a16:creationId xmlns:a16="http://schemas.microsoft.com/office/drawing/2014/main" id="{00000000-0008-0000-0100-00007B000000}"/>
                        </a:ext>
                      </a:extLst>
                    </xdr:cNvPr>
                    <xdr:cNvCxnSpPr/>
                  </xdr:nvCxnSpPr>
                  <xdr:spPr>
                    <a:xfrm>
                      <a:off x="3417683" y="12242423"/>
                      <a:ext cx="9095384" cy="5603"/>
                    </a:xfrm>
                    <a:prstGeom prst="line">
                      <a:avLst/>
                    </a:prstGeom>
                    <a:ln>
                      <a:solidFill>
                        <a:schemeClr val="bg2">
                          <a:lumMod val="60000"/>
                          <a:lumOff val="40000"/>
                        </a:schemeClr>
                      </a:solidFill>
                    </a:ln>
                    <a:effectLst/>
                  </xdr:spPr>
                  <xdr:style>
                    <a:lnRef idx="1">
                      <a:schemeClr val="accent1"/>
                    </a:lnRef>
                    <a:fillRef idx="0">
                      <a:schemeClr val="accent1"/>
                    </a:fillRef>
                    <a:effectRef idx="0">
                      <a:schemeClr val="accent1"/>
                    </a:effectRef>
                    <a:fontRef idx="minor">
                      <a:schemeClr val="tx1"/>
                    </a:fontRef>
                  </xdr:style>
                </xdr:cxnSp>
              </xdr:grpSp>
              <xdr:sp macro="" textlink="">
                <xdr:nvSpPr>
                  <xdr:cNvPr id="125" name="CasellaDiTesto 124">
                    <a:extLst>
                      <a:ext uri="{FF2B5EF4-FFF2-40B4-BE49-F238E27FC236}">
                        <a16:creationId xmlns:a16="http://schemas.microsoft.com/office/drawing/2014/main" id="{00000000-0008-0000-0100-00007D000000}"/>
                      </a:ext>
                    </a:extLst>
                  </xdr:cNvPr>
                  <xdr:cNvSpPr txBox="1"/>
                </xdr:nvSpPr>
                <xdr:spPr>
                  <a:xfrm>
                    <a:off x="4368864" y="13728817"/>
                    <a:ext cx="683636" cy="2483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000" b="1">
                        <a:solidFill>
                          <a:schemeClr val="bg2">
                            <a:lumMod val="50000"/>
                          </a:schemeClr>
                        </a:solidFill>
                        <a:latin typeface="Arial" panose="020B0604020202020204" pitchFamily="34" charset="0"/>
                        <a:cs typeface="Arial" panose="020B0604020202020204" pitchFamily="34" charset="0"/>
                      </a:rPr>
                      <a:t>EBITDA</a:t>
                    </a:r>
                  </a:p>
                </xdr:txBody>
              </xdr:sp>
              <xdr:sp macro="" textlink="">
                <xdr:nvSpPr>
                  <xdr:cNvPr id="127" name="CasellaDiTesto 126">
                    <a:extLst>
                      <a:ext uri="{FF2B5EF4-FFF2-40B4-BE49-F238E27FC236}">
                        <a16:creationId xmlns:a16="http://schemas.microsoft.com/office/drawing/2014/main" id="{00000000-0008-0000-0100-00007F000000}"/>
                      </a:ext>
                    </a:extLst>
                  </xdr:cNvPr>
                  <xdr:cNvSpPr txBox="1"/>
                </xdr:nvSpPr>
                <xdr:spPr>
                  <a:xfrm>
                    <a:off x="3142275" y="13658447"/>
                    <a:ext cx="931839" cy="3891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it-IT" sz="1000" b="1">
                        <a:solidFill>
                          <a:schemeClr val="bg2">
                            <a:lumMod val="50000"/>
                          </a:schemeClr>
                        </a:solidFill>
                        <a:latin typeface="Arial" panose="020B0604020202020204" pitchFamily="34" charset="0"/>
                        <a:cs typeface="Arial" panose="020B0604020202020204" pitchFamily="34" charset="0"/>
                      </a:rPr>
                      <a:t>NFD </a:t>
                    </a:r>
                  </a:p>
                  <a:p>
                    <a:pPr algn="ctr"/>
                    <a:r>
                      <a:rPr lang="it-IT" sz="1000" b="1">
                        <a:solidFill>
                          <a:schemeClr val="bg2">
                            <a:lumMod val="50000"/>
                          </a:schemeClr>
                        </a:solidFill>
                        <a:latin typeface="Arial" panose="020B0604020202020204" pitchFamily="34" charset="0"/>
                        <a:cs typeface="Arial" panose="020B0604020202020204" pitchFamily="34" charset="0"/>
                      </a:rPr>
                      <a:t>Dic</a:t>
                    </a:r>
                    <a:r>
                      <a:rPr lang="it-IT" sz="1000" b="1" baseline="0">
                        <a:solidFill>
                          <a:schemeClr val="bg2">
                            <a:lumMod val="50000"/>
                          </a:schemeClr>
                        </a:solidFill>
                        <a:latin typeface="Arial" panose="020B0604020202020204" pitchFamily="34" charset="0"/>
                        <a:cs typeface="Arial" panose="020B0604020202020204" pitchFamily="34" charset="0"/>
                      </a:rPr>
                      <a:t> 31, 2017</a:t>
                    </a:r>
                    <a:endParaRPr lang="it-IT" sz="1000" b="1">
                      <a:solidFill>
                        <a:schemeClr val="bg2">
                          <a:lumMod val="50000"/>
                        </a:schemeClr>
                      </a:solidFill>
                      <a:latin typeface="Arial" panose="020B0604020202020204" pitchFamily="34" charset="0"/>
                      <a:cs typeface="Arial" panose="020B0604020202020204" pitchFamily="34" charset="0"/>
                    </a:endParaRPr>
                  </a:p>
                </xdr:txBody>
              </xdr:sp>
              <xdr:sp macro="" textlink="">
                <xdr:nvSpPr>
                  <xdr:cNvPr id="128" name="CasellaDiTesto 127">
                    <a:extLst>
                      <a:ext uri="{FF2B5EF4-FFF2-40B4-BE49-F238E27FC236}">
                        <a16:creationId xmlns:a16="http://schemas.microsoft.com/office/drawing/2014/main" id="{00000000-0008-0000-0100-000080000000}"/>
                      </a:ext>
                    </a:extLst>
                  </xdr:cNvPr>
                  <xdr:cNvSpPr txBox="1"/>
                </xdr:nvSpPr>
                <xdr:spPr>
                  <a:xfrm>
                    <a:off x="11005383" y="13658448"/>
                    <a:ext cx="995219" cy="3891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it-IT" sz="1000" b="1">
                        <a:solidFill>
                          <a:schemeClr val="bg2">
                            <a:lumMod val="50000"/>
                          </a:schemeClr>
                        </a:solidFill>
                        <a:latin typeface="Arial" panose="020B0604020202020204" pitchFamily="34" charset="0"/>
                        <a:cs typeface="Arial" panose="020B0604020202020204" pitchFamily="34" charset="0"/>
                      </a:rPr>
                      <a:t>NFD </a:t>
                    </a:r>
                  </a:p>
                  <a:p>
                    <a:pPr algn="ctr"/>
                    <a:r>
                      <a:rPr lang="it-IT" sz="1000" b="1">
                        <a:solidFill>
                          <a:schemeClr val="bg2">
                            <a:lumMod val="50000"/>
                          </a:schemeClr>
                        </a:solidFill>
                        <a:latin typeface="Arial" panose="020B0604020202020204" pitchFamily="34" charset="0"/>
                        <a:cs typeface="Arial" panose="020B0604020202020204" pitchFamily="34" charset="0"/>
                      </a:rPr>
                      <a:t>Dic</a:t>
                    </a:r>
                    <a:r>
                      <a:rPr lang="it-IT" sz="1000" b="1" baseline="0">
                        <a:solidFill>
                          <a:schemeClr val="bg2">
                            <a:lumMod val="50000"/>
                          </a:schemeClr>
                        </a:solidFill>
                        <a:latin typeface="Arial" panose="020B0604020202020204" pitchFamily="34" charset="0"/>
                        <a:cs typeface="Arial" panose="020B0604020202020204" pitchFamily="34" charset="0"/>
                      </a:rPr>
                      <a:t> 31, 2018</a:t>
                    </a:r>
                    <a:endParaRPr lang="it-IT" sz="1000" b="1">
                      <a:solidFill>
                        <a:schemeClr val="bg2">
                          <a:lumMod val="50000"/>
                        </a:schemeClr>
                      </a:solidFill>
                      <a:latin typeface="Arial" panose="020B0604020202020204" pitchFamily="34" charset="0"/>
                      <a:cs typeface="Arial" panose="020B0604020202020204" pitchFamily="34" charset="0"/>
                    </a:endParaRPr>
                  </a:p>
                </xdr:txBody>
              </xdr:sp>
              <xdr:sp macro="" textlink="">
                <xdr:nvSpPr>
                  <xdr:cNvPr id="129" name="CasellaDiTesto 128">
                    <a:extLst>
                      <a:ext uri="{FF2B5EF4-FFF2-40B4-BE49-F238E27FC236}">
                        <a16:creationId xmlns:a16="http://schemas.microsoft.com/office/drawing/2014/main" id="{00000000-0008-0000-0100-000081000000}"/>
                      </a:ext>
                    </a:extLst>
                  </xdr:cNvPr>
                  <xdr:cNvSpPr txBox="1"/>
                </xdr:nvSpPr>
                <xdr:spPr>
                  <a:xfrm>
                    <a:off x="5385221" y="13651039"/>
                    <a:ext cx="895351" cy="4039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it-IT" sz="1000" b="1">
                        <a:solidFill>
                          <a:schemeClr val="bg2">
                            <a:lumMod val="50000"/>
                          </a:schemeClr>
                        </a:solidFill>
                        <a:latin typeface="Arial" panose="020B0604020202020204" pitchFamily="34" charset="0"/>
                        <a:cs typeface="Arial" panose="020B0604020202020204" pitchFamily="34" charset="0"/>
                      </a:rPr>
                      <a:t>Change in net W.C.</a:t>
                    </a:r>
                  </a:p>
                </xdr:txBody>
              </xdr:sp>
              <xdr:sp macro="" textlink="">
                <xdr:nvSpPr>
                  <xdr:cNvPr id="130" name="CasellaDiTesto 129">
                    <a:extLst>
                      <a:ext uri="{FF2B5EF4-FFF2-40B4-BE49-F238E27FC236}">
                        <a16:creationId xmlns:a16="http://schemas.microsoft.com/office/drawing/2014/main" id="{00000000-0008-0000-0100-000082000000}"/>
                      </a:ext>
                    </a:extLst>
                  </xdr:cNvPr>
                  <xdr:cNvSpPr txBox="1"/>
                </xdr:nvSpPr>
                <xdr:spPr>
                  <a:xfrm>
                    <a:off x="6442423" y="13658447"/>
                    <a:ext cx="1155108" cy="3891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it-IT" sz="1000" b="1">
                        <a:solidFill>
                          <a:schemeClr val="bg2">
                            <a:lumMod val="50000"/>
                          </a:schemeClr>
                        </a:solidFill>
                        <a:latin typeface="Arial" panose="020B0604020202020204" pitchFamily="34" charset="0"/>
                        <a:cs typeface="Arial" panose="020B0604020202020204" pitchFamily="34" charset="0"/>
                      </a:rPr>
                      <a:t>Net financial expense paid</a:t>
                    </a:r>
                  </a:p>
                </xdr:txBody>
              </xdr:sp>
              <xdr:sp macro="" textlink="">
                <xdr:nvSpPr>
                  <xdr:cNvPr id="131" name="CasellaDiTesto 130">
                    <a:extLst>
                      <a:ext uri="{FF2B5EF4-FFF2-40B4-BE49-F238E27FC236}">
                        <a16:creationId xmlns:a16="http://schemas.microsoft.com/office/drawing/2014/main" id="{00000000-0008-0000-0100-000083000000}"/>
                      </a:ext>
                    </a:extLst>
                  </xdr:cNvPr>
                  <xdr:cNvSpPr txBox="1"/>
                </xdr:nvSpPr>
                <xdr:spPr>
                  <a:xfrm>
                    <a:off x="7711918" y="13658448"/>
                    <a:ext cx="895351" cy="389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it-IT" sz="1000" b="1">
                        <a:solidFill>
                          <a:schemeClr val="bg2">
                            <a:lumMod val="50000"/>
                          </a:schemeClr>
                        </a:solidFill>
                        <a:latin typeface="Arial" panose="020B0604020202020204" pitchFamily="34" charset="0"/>
                        <a:cs typeface="Arial" panose="020B0604020202020204" pitchFamily="34" charset="0"/>
                      </a:rPr>
                      <a:t>Net income</a:t>
                    </a:r>
                    <a:r>
                      <a:rPr lang="it-IT" sz="1000" b="1" baseline="0">
                        <a:solidFill>
                          <a:schemeClr val="bg2">
                            <a:lumMod val="50000"/>
                          </a:schemeClr>
                        </a:solidFill>
                        <a:latin typeface="Arial" panose="020B0604020202020204" pitchFamily="34" charset="0"/>
                        <a:cs typeface="Arial" panose="020B0604020202020204" pitchFamily="34" charset="0"/>
                      </a:rPr>
                      <a:t> taxes paid</a:t>
                    </a:r>
                    <a:endParaRPr lang="it-IT" sz="1000" b="1">
                      <a:solidFill>
                        <a:schemeClr val="bg2">
                          <a:lumMod val="50000"/>
                        </a:schemeClr>
                      </a:solidFill>
                      <a:latin typeface="Arial" panose="020B0604020202020204" pitchFamily="34" charset="0"/>
                      <a:cs typeface="Arial" panose="020B0604020202020204" pitchFamily="34" charset="0"/>
                    </a:endParaRPr>
                  </a:p>
                </xdr:txBody>
              </xdr:sp>
              <xdr:sp macro="" textlink="">
                <xdr:nvSpPr>
                  <xdr:cNvPr id="132" name="CasellaDiTesto 131">
                    <a:extLst>
                      <a:ext uri="{FF2B5EF4-FFF2-40B4-BE49-F238E27FC236}">
                        <a16:creationId xmlns:a16="http://schemas.microsoft.com/office/drawing/2014/main" id="{00000000-0008-0000-0100-000084000000}"/>
                      </a:ext>
                    </a:extLst>
                  </xdr:cNvPr>
                  <xdr:cNvSpPr txBox="1"/>
                </xdr:nvSpPr>
                <xdr:spPr>
                  <a:xfrm>
                    <a:off x="8797598" y="13658448"/>
                    <a:ext cx="941265" cy="3891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it-IT" sz="1000" b="1">
                        <a:solidFill>
                          <a:schemeClr val="bg2">
                            <a:lumMod val="50000"/>
                          </a:schemeClr>
                        </a:solidFill>
                        <a:latin typeface="Arial" panose="020B0604020202020204" pitchFamily="34" charset="0"/>
                        <a:cs typeface="Arial" panose="020B0604020202020204" pitchFamily="34" charset="0"/>
                      </a:rPr>
                      <a:t>Net Investments</a:t>
                    </a:r>
                  </a:p>
                </xdr:txBody>
              </xdr:sp>
              <xdr:sp macro="" textlink="">
                <xdr:nvSpPr>
                  <xdr:cNvPr id="133" name="CasellaDiTesto 132">
                    <a:extLst>
                      <a:ext uri="{FF2B5EF4-FFF2-40B4-BE49-F238E27FC236}">
                        <a16:creationId xmlns:a16="http://schemas.microsoft.com/office/drawing/2014/main" id="{00000000-0008-0000-0100-000085000000}"/>
                      </a:ext>
                    </a:extLst>
                  </xdr:cNvPr>
                  <xdr:cNvSpPr txBox="1"/>
                </xdr:nvSpPr>
                <xdr:spPr>
                  <a:xfrm>
                    <a:off x="9938686" y="13732539"/>
                    <a:ext cx="895351" cy="2409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it-IT" sz="1000" b="1">
                        <a:solidFill>
                          <a:schemeClr val="bg2">
                            <a:lumMod val="50000"/>
                          </a:schemeClr>
                        </a:solidFill>
                        <a:latin typeface="Arial" panose="020B0604020202020204" pitchFamily="34" charset="0"/>
                        <a:cs typeface="Arial" panose="020B0604020202020204" pitchFamily="34" charset="0"/>
                      </a:rPr>
                      <a:t>Other</a:t>
                    </a:r>
                  </a:p>
                </xdr:txBody>
              </xdr:sp>
            </xdr:grpSp>
            <xdr:graphicFrame macro="">
              <xdr:nvGraphicFramePr>
                <xdr:cNvPr id="140" name="Grafico 139">
                  <a:extLst>
                    <a:ext uri="{FF2B5EF4-FFF2-40B4-BE49-F238E27FC236}">
                      <a16:creationId xmlns:a16="http://schemas.microsoft.com/office/drawing/2014/main" id="{00000000-0008-0000-0100-00008C000000}"/>
                    </a:ext>
                  </a:extLst>
                </xdr:cNvPr>
                <xdr:cNvGraphicFramePr>
                  <a:graphicFrameLocks/>
                </xdr:cNvGraphicFramePr>
              </xdr:nvGraphicFramePr>
              <xdr:xfrm>
                <a:off x="1238249" y="14817436"/>
                <a:ext cx="4638675" cy="2413289"/>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44" name="Grafico 143">
                  <a:extLst>
                    <a:ext uri="{FF2B5EF4-FFF2-40B4-BE49-F238E27FC236}">
                      <a16:creationId xmlns:a16="http://schemas.microsoft.com/office/drawing/2014/main" id="{00000000-0008-0000-0100-000090000000}"/>
                    </a:ext>
                  </a:extLst>
                </xdr:cNvPr>
                <xdr:cNvGraphicFramePr>
                  <a:graphicFrameLocks/>
                </xdr:cNvGraphicFramePr>
              </xdr:nvGraphicFramePr>
              <xdr:xfrm>
                <a:off x="6541943" y="14591433"/>
                <a:ext cx="3097357" cy="2705967"/>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45" name="Grafico 144">
                  <a:extLst>
                    <a:ext uri="{FF2B5EF4-FFF2-40B4-BE49-F238E27FC236}">
                      <a16:creationId xmlns:a16="http://schemas.microsoft.com/office/drawing/2014/main" id="{00000000-0008-0000-0100-000091000000}"/>
                    </a:ext>
                  </a:extLst>
                </xdr:cNvPr>
                <xdr:cNvGraphicFramePr>
                  <a:graphicFrameLocks/>
                </xdr:cNvGraphicFramePr>
              </xdr:nvGraphicFramePr>
              <xdr:xfrm>
                <a:off x="9520672" y="14146355"/>
                <a:ext cx="4660324" cy="3408220"/>
              </xdr:xfrm>
              <a:graphic>
                <a:graphicData uri="http://schemas.openxmlformats.org/drawingml/2006/chart">
                  <c:chart xmlns:c="http://schemas.openxmlformats.org/drawingml/2006/chart" xmlns:r="http://schemas.openxmlformats.org/officeDocument/2006/relationships" r:id="rId14"/>
                </a:graphicData>
              </a:graphic>
            </xdr:graphicFrame>
            <xdr:sp macro="" textlink="">
              <xdr:nvSpPr>
                <xdr:cNvPr id="1026" name="CasellaDiTesto 1025">
                  <a:extLst>
                    <a:ext uri="{FF2B5EF4-FFF2-40B4-BE49-F238E27FC236}">
                      <a16:creationId xmlns:a16="http://schemas.microsoft.com/office/drawing/2014/main" id="{00000000-0008-0000-0100-000002040000}"/>
                    </a:ext>
                  </a:extLst>
                </xdr:cNvPr>
                <xdr:cNvSpPr txBox="1"/>
              </xdr:nvSpPr>
              <xdr:spPr>
                <a:xfrm>
                  <a:off x="12734928" y="16668751"/>
                  <a:ext cx="1260473"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000" b="1">
                      <a:solidFill>
                        <a:schemeClr val="tx1">
                          <a:lumMod val="65000"/>
                          <a:lumOff val="35000"/>
                        </a:schemeClr>
                      </a:solidFill>
                      <a:latin typeface="Arial" panose="020B0604020202020204" pitchFamily="34" charset="0"/>
                      <a:cs typeface="Arial" panose="020B0604020202020204" pitchFamily="34" charset="0"/>
                    </a:rPr>
                    <a:t>Funding from EIB</a:t>
                  </a:r>
                </a:p>
              </xdr:txBody>
            </xdr:sp>
            <xdr:sp macro="" textlink="">
              <xdr:nvSpPr>
                <xdr:cNvPr id="1027" name="Rettangolo 1026">
                  <a:extLst>
                    <a:ext uri="{FF2B5EF4-FFF2-40B4-BE49-F238E27FC236}">
                      <a16:creationId xmlns:a16="http://schemas.microsoft.com/office/drawing/2014/main" id="{00000000-0008-0000-0100-000003040000}"/>
                    </a:ext>
                  </a:extLst>
                </xdr:cNvPr>
                <xdr:cNvSpPr/>
              </xdr:nvSpPr>
              <xdr:spPr>
                <a:xfrm>
                  <a:off x="12734928" y="16768762"/>
                  <a:ext cx="45719" cy="45719"/>
                </a:xfrm>
                <a:prstGeom prst="rect">
                  <a:avLst/>
                </a:prstGeom>
                <a:pattFill prst="pct70">
                  <a:fgClr>
                    <a:schemeClr val="accent4"/>
                  </a:fgClr>
                  <a:bgClr>
                    <a:schemeClr val="bg1"/>
                  </a:bgClr>
                </a:patt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grpSp>
          <xdr:sp macro="" textlink="">
            <xdr:nvSpPr>
              <xdr:cNvPr id="141" name="CasellaDiTesto 140">
                <a:extLst>
                  <a:ext uri="{FF2B5EF4-FFF2-40B4-BE49-F238E27FC236}">
                    <a16:creationId xmlns:a16="http://schemas.microsoft.com/office/drawing/2014/main" id="{00000000-0008-0000-0100-00008D000000}"/>
                  </a:ext>
                </a:extLst>
              </xdr:cNvPr>
              <xdr:cNvSpPr txBox="1"/>
            </xdr:nvSpPr>
            <xdr:spPr>
              <a:xfrm>
                <a:off x="2110223" y="15323127"/>
                <a:ext cx="528202" cy="3550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1400" b="1">
                    <a:solidFill>
                      <a:schemeClr val="bg2">
                        <a:lumMod val="50000"/>
                      </a:schemeClr>
                    </a:solidFill>
                    <a:latin typeface="Arial" panose="020B0604020202020204" pitchFamily="34" charset="0"/>
                    <a:cs typeface="Arial" panose="020B0604020202020204" pitchFamily="34" charset="0"/>
                  </a:rPr>
                  <a:t>382</a:t>
                </a:r>
                <a:endParaRPr lang="it-IT" sz="1000" b="1">
                  <a:solidFill>
                    <a:schemeClr val="bg2">
                      <a:lumMod val="50000"/>
                    </a:schemeClr>
                  </a:solidFill>
                  <a:latin typeface="Arial" panose="020B0604020202020204" pitchFamily="34" charset="0"/>
                  <a:cs typeface="Arial" panose="020B0604020202020204" pitchFamily="34" charset="0"/>
                </a:endParaRPr>
              </a:p>
            </xdr:txBody>
          </xdr:sp>
          <xdr:sp macro="" textlink="">
            <xdr:nvSpPr>
              <xdr:cNvPr id="142" name="CasellaDiTesto 141">
                <a:extLst>
                  <a:ext uri="{FF2B5EF4-FFF2-40B4-BE49-F238E27FC236}">
                    <a16:creationId xmlns:a16="http://schemas.microsoft.com/office/drawing/2014/main" id="{00000000-0008-0000-0100-00008E000000}"/>
                  </a:ext>
                </a:extLst>
              </xdr:cNvPr>
              <xdr:cNvSpPr txBox="1"/>
            </xdr:nvSpPr>
            <xdr:spPr>
              <a:xfrm>
                <a:off x="3424674" y="14704003"/>
                <a:ext cx="430572" cy="278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1400" b="1">
                    <a:solidFill>
                      <a:schemeClr val="bg2">
                        <a:lumMod val="50000"/>
                      </a:schemeClr>
                    </a:solidFill>
                    <a:latin typeface="Arial" panose="020B0604020202020204" pitchFamily="34" charset="0"/>
                    <a:cs typeface="Arial" panose="020B0604020202020204" pitchFamily="34" charset="0"/>
                  </a:rPr>
                  <a:t>571</a:t>
                </a:r>
                <a:endParaRPr lang="it-IT" sz="1200" b="1">
                  <a:solidFill>
                    <a:schemeClr val="bg2">
                      <a:lumMod val="50000"/>
                    </a:schemeClr>
                  </a:solidFill>
                  <a:latin typeface="Arial" panose="020B0604020202020204" pitchFamily="34" charset="0"/>
                  <a:cs typeface="Arial" panose="020B0604020202020204" pitchFamily="34" charset="0"/>
                </a:endParaRPr>
              </a:p>
            </xdr:txBody>
          </xdr:sp>
          <xdr:sp macro="" textlink="">
            <xdr:nvSpPr>
              <xdr:cNvPr id="147" name="CasellaDiTesto 146">
                <a:extLst>
                  <a:ext uri="{FF2B5EF4-FFF2-40B4-BE49-F238E27FC236}">
                    <a16:creationId xmlns:a16="http://schemas.microsoft.com/office/drawing/2014/main" id="{00000000-0008-0000-0100-000093000000}"/>
                  </a:ext>
                </a:extLst>
              </xdr:cNvPr>
              <xdr:cNvSpPr txBox="1"/>
            </xdr:nvSpPr>
            <xdr:spPr>
              <a:xfrm>
                <a:off x="10801354" y="15857394"/>
                <a:ext cx="434035" cy="2779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1600" b="1">
                    <a:solidFill>
                      <a:schemeClr val="bg2">
                        <a:lumMod val="50000"/>
                      </a:schemeClr>
                    </a:solidFill>
                    <a:latin typeface="Arial" panose="020B0604020202020204" pitchFamily="34" charset="0"/>
                    <a:cs typeface="Arial" panose="020B0604020202020204" pitchFamily="34" charset="0"/>
                  </a:rPr>
                  <a:t>571</a:t>
                </a:r>
              </a:p>
            </xdr:txBody>
          </xdr:sp>
          <xdr:sp macro="" textlink="">
            <xdr:nvSpPr>
              <xdr:cNvPr id="148" name="CasellaDiTesto 147">
                <a:extLst>
                  <a:ext uri="{FF2B5EF4-FFF2-40B4-BE49-F238E27FC236}">
                    <a16:creationId xmlns:a16="http://schemas.microsoft.com/office/drawing/2014/main" id="{00000000-0008-0000-0100-000094000000}"/>
                  </a:ext>
                </a:extLst>
              </xdr:cNvPr>
              <xdr:cNvSpPr txBox="1"/>
            </xdr:nvSpPr>
            <xdr:spPr>
              <a:xfrm>
                <a:off x="7865055" y="15876443"/>
                <a:ext cx="488369" cy="3065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1600" b="1">
                    <a:solidFill>
                      <a:schemeClr val="bg2">
                        <a:lumMod val="50000"/>
                      </a:schemeClr>
                    </a:solidFill>
                    <a:latin typeface="Arial" panose="020B0604020202020204" pitchFamily="34" charset="0"/>
                    <a:cs typeface="Arial" panose="020B0604020202020204" pitchFamily="34" charset="0"/>
                  </a:rPr>
                  <a:t>382</a:t>
                </a:r>
              </a:p>
            </xdr:txBody>
          </xdr:sp>
        </xdr:grpSp>
        <xdr:sp macro="" textlink="">
          <xdr:nvSpPr>
            <xdr:cNvPr id="161" name="CasellaDiTesto 160">
              <a:extLst>
                <a:ext uri="{FF2B5EF4-FFF2-40B4-BE49-F238E27FC236}">
                  <a16:creationId xmlns:a16="http://schemas.microsoft.com/office/drawing/2014/main" id="{00000000-0008-0000-0100-0000A1000000}"/>
                </a:ext>
              </a:extLst>
            </xdr:cNvPr>
            <xdr:cNvSpPr txBox="1"/>
          </xdr:nvSpPr>
          <xdr:spPr>
            <a:xfrm>
              <a:off x="6067425" y="11020425"/>
              <a:ext cx="3095625" cy="406389"/>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1400" b="1">
                  <a:solidFill>
                    <a:schemeClr val="bg2">
                      <a:lumMod val="75000"/>
                    </a:schemeClr>
                  </a:solidFill>
                  <a:latin typeface="Arial" panose="020B0604020202020204" pitchFamily="34" charset="0"/>
                  <a:cs typeface="Arial" panose="020B0604020202020204" pitchFamily="34" charset="0"/>
                </a:rPr>
                <a:t>Changes</a:t>
              </a:r>
              <a:r>
                <a:rPr lang="it-IT" sz="1400" b="1" baseline="0">
                  <a:solidFill>
                    <a:schemeClr val="bg2">
                      <a:lumMod val="75000"/>
                    </a:schemeClr>
                  </a:solidFill>
                  <a:latin typeface="Arial" panose="020B0604020202020204" pitchFamily="34" charset="0"/>
                  <a:cs typeface="Arial" panose="020B0604020202020204" pitchFamily="34" charset="0"/>
                </a:rPr>
                <a:t> in </a:t>
              </a:r>
              <a:r>
                <a:rPr lang="it-IT" sz="1400" b="1">
                  <a:solidFill>
                    <a:schemeClr val="bg2">
                      <a:lumMod val="75000"/>
                    </a:schemeClr>
                  </a:solidFill>
                  <a:latin typeface="Arial" panose="020B0604020202020204" pitchFamily="34" charset="0"/>
                  <a:cs typeface="Arial" panose="020B0604020202020204" pitchFamily="34" charset="0"/>
                </a:rPr>
                <a:t>Net Financial Debt </a:t>
              </a:r>
              <a:r>
                <a:rPr lang="it-IT" sz="1100" b="0">
                  <a:solidFill>
                    <a:schemeClr val="bg2">
                      <a:lumMod val="75000"/>
                    </a:schemeClr>
                  </a:solidFill>
                  <a:latin typeface="Arial" panose="020B0604020202020204" pitchFamily="34" charset="0"/>
                  <a:cs typeface="Arial" panose="020B0604020202020204" pitchFamily="34" charset="0"/>
                </a:rPr>
                <a:t>(bln€) </a:t>
              </a:r>
              <a:endParaRPr lang="it-IT" sz="1400" b="0">
                <a:solidFill>
                  <a:schemeClr val="bg2">
                    <a:lumMod val="75000"/>
                  </a:schemeClr>
                </a:solidFill>
                <a:latin typeface="Arial" panose="020B0604020202020204" pitchFamily="34" charset="0"/>
                <a:cs typeface="Arial" panose="020B0604020202020204" pitchFamily="34" charset="0"/>
              </a:endParaRPr>
            </a:p>
          </xdr:txBody>
        </xdr:sp>
        <xdr:sp macro="" textlink="">
          <xdr:nvSpPr>
            <xdr:cNvPr id="162" name="CasellaDiTesto 161">
              <a:extLst>
                <a:ext uri="{FF2B5EF4-FFF2-40B4-BE49-F238E27FC236}">
                  <a16:creationId xmlns:a16="http://schemas.microsoft.com/office/drawing/2014/main" id="{00000000-0008-0000-0100-0000A2000000}"/>
                </a:ext>
              </a:extLst>
            </xdr:cNvPr>
            <xdr:cNvSpPr txBox="1"/>
          </xdr:nvSpPr>
          <xdr:spPr>
            <a:xfrm>
              <a:off x="5486402" y="14268450"/>
              <a:ext cx="4610098" cy="406389"/>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indent="0"/>
              <a:r>
                <a:rPr lang="it-IT" sz="1400" b="1">
                  <a:solidFill>
                    <a:schemeClr val="bg2">
                      <a:lumMod val="75000"/>
                    </a:schemeClr>
                  </a:solidFill>
                  <a:latin typeface="Arial" panose="020B0604020202020204" pitchFamily="34" charset="0"/>
                  <a:ea typeface="+mn-ea"/>
                  <a:cs typeface="Arial" panose="020B0604020202020204" pitchFamily="34" charset="0"/>
                </a:rPr>
                <a:t>Gross Financial Debt and breakdown by source </a:t>
              </a:r>
              <a:r>
                <a:rPr lang="it-IT" sz="1100" b="0">
                  <a:solidFill>
                    <a:schemeClr val="bg2">
                      <a:lumMod val="75000"/>
                    </a:schemeClr>
                  </a:solidFill>
                  <a:latin typeface="Arial" panose="020B0604020202020204" pitchFamily="34" charset="0"/>
                  <a:ea typeface="+mn-ea"/>
                  <a:cs typeface="Arial" panose="020B0604020202020204" pitchFamily="34" charset="0"/>
                </a:rPr>
                <a:t>(bln€) </a:t>
              </a:r>
              <a:endParaRPr lang="it-IT" sz="1400" b="0">
                <a:solidFill>
                  <a:schemeClr val="bg2">
                    <a:lumMod val="75000"/>
                  </a:schemeClr>
                </a:solidFill>
                <a:latin typeface="Arial" panose="020B0604020202020204" pitchFamily="34" charset="0"/>
                <a:ea typeface="+mn-ea"/>
                <a:cs typeface="Arial" panose="020B0604020202020204" pitchFamily="34" charset="0"/>
              </a:endParaRPr>
            </a:p>
          </xdr:txBody>
        </xdr:sp>
        <xdr:sp macro="" textlink="">
          <xdr:nvSpPr>
            <xdr:cNvPr id="164" name="CasellaDiTesto 163">
              <a:extLst>
                <a:ext uri="{FF2B5EF4-FFF2-40B4-BE49-F238E27FC236}">
                  <a16:creationId xmlns:a16="http://schemas.microsoft.com/office/drawing/2014/main" id="{00000000-0008-0000-0100-0000A4000000}"/>
                </a:ext>
              </a:extLst>
            </xdr:cNvPr>
            <xdr:cNvSpPr txBox="1"/>
          </xdr:nvSpPr>
          <xdr:spPr>
            <a:xfrm>
              <a:off x="7677152" y="14763750"/>
              <a:ext cx="942975"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1050" b="1" u="none">
                  <a:solidFill>
                    <a:schemeClr val="bg2">
                      <a:lumMod val="75000"/>
                    </a:schemeClr>
                  </a:solidFill>
                  <a:latin typeface="Arial" panose="020B0604020202020204" pitchFamily="34" charset="0"/>
                  <a:cs typeface="Arial" panose="020B0604020202020204" pitchFamily="34" charset="0"/>
                </a:rPr>
                <a:t>12/31/2017</a:t>
              </a:r>
            </a:p>
          </xdr:txBody>
        </xdr:sp>
        <xdr:sp macro="" textlink="">
          <xdr:nvSpPr>
            <xdr:cNvPr id="165" name="CasellaDiTesto 164">
              <a:extLst>
                <a:ext uri="{FF2B5EF4-FFF2-40B4-BE49-F238E27FC236}">
                  <a16:creationId xmlns:a16="http://schemas.microsoft.com/office/drawing/2014/main" id="{00000000-0008-0000-0100-0000A5000000}"/>
                </a:ext>
              </a:extLst>
            </xdr:cNvPr>
            <xdr:cNvSpPr txBox="1"/>
          </xdr:nvSpPr>
          <xdr:spPr>
            <a:xfrm>
              <a:off x="10601327" y="14763750"/>
              <a:ext cx="942975"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1050" b="1" u="none">
                  <a:solidFill>
                    <a:schemeClr val="bg2">
                      <a:lumMod val="75000"/>
                    </a:schemeClr>
                  </a:solidFill>
                  <a:latin typeface="Arial" panose="020B0604020202020204" pitchFamily="34" charset="0"/>
                  <a:cs typeface="Arial" panose="020B0604020202020204" pitchFamily="34" charset="0"/>
                </a:rPr>
                <a:t>12/31/2018</a:t>
              </a:r>
            </a:p>
          </xdr:txBody>
        </xdr:sp>
      </xdr:grpSp>
      <xdr:sp macro="" textlink="">
        <xdr:nvSpPr>
          <xdr:cNvPr id="159" name="CasellaDiTesto 158">
            <a:extLst>
              <a:ext uri="{FF2B5EF4-FFF2-40B4-BE49-F238E27FC236}">
                <a16:creationId xmlns:a16="http://schemas.microsoft.com/office/drawing/2014/main" id="{00000000-0008-0000-0100-00009F000000}"/>
              </a:ext>
            </a:extLst>
          </xdr:cNvPr>
          <xdr:cNvSpPr txBox="1"/>
        </xdr:nvSpPr>
        <xdr:spPr>
          <a:xfrm>
            <a:off x="5904369" y="10391775"/>
            <a:ext cx="3380661" cy="406389"/>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1800" b="1">
                <a:solidFill>
                  <a:schemeClr val="bg2">
                    <a:lumMod val="75000"/>
                  </a:schemeClr>
                </a:solidFill>
                <a:latin typeface="Arial" panose="020B0604020202020204" pitchFamily="34" charset="0"/>
                <a:cs typeface="Arial" panose="020B0604020202020204" pitchFamily="34" charset="0"/>
              </a:rPr>
              <a:t>Consolidated</a:t>
            </a:r>
            <a:r>
              <a:rPr lang="it-IT" sz="1800" b="1" baseline="0">
                <a:solidFill>
                  <a:schemeClr val="bg2">
                    <a:lumMod val="75000"/>
                  </a:schemeClr>
                </a:solidFill>
                <a:latin typeface="Arial" panose="020B0604020202020204" pitchFamily="34" charset="0"/>
                <a:cs typeface="Arial" panose="020B0604020202020204" pitchFamily="34" charset="0"/>
              </a:rPr>
              <a:t> F</a:t>
            </a:r>
            <a:r>
              <a:rPr lang="it-IT" sz="1800" b="1">
                <a:solidFill>
                  <a:schemeClr val="bg2">
                    <a:lumMod val="75000"/>
                  </a:schemeClr>
                </a:solidFill>
                <a:latin typeface="Arial" panose="020B0604020202020204" pitchFamily="34" charset="0"/>
                <a:cs typeface="Arial" panose="020B0604020202020204" pitchFamily="34" charset="0"/>
              </a:rPr>
              <a:t>inancial </a:t>
            </a:r>
            <a:r>
              <a:rPr lang="it-IT" sz="1800" b="1">
                <a:solidFill>
                  <a:schemeClr val="bg2">
                    <a:lumMod val="75000"/>
                  </a:schemeClr>
                </a:solidFill>
                <a:latin typeface="Arial" panose="020B0604020202020204" pitchFamily="34" charset="0"/>
                <a:ea typeface="+mn-ea"/>
                <a:cs typeface="Arial" panose="020B0604020202020204" pitchFamily="34" charset="0"/>
              </a:rPr>
              <a:t>Debt</a:t>
            </a:r>
            <a:r>
              <a:rPr lang="it-IT" sz="1200" b="0" baseline="0">
                <a:solidFill>
                  <a:schemeClr val="bg2">
                    <a:lumMod val="75000"/>
                  </a:schemeClr>
                </a:solidFill>
                <a:latin typeface="Arial" panose="020B0604020202020204" pitchFamily="34" charset="0"/>
                <a:ea typeface="+mn-ea"/>
                <a:cs typeface="Arial" panose="020B0604020202020204" pitchFamily="34" charset="0"/>
              </a:rPr>
              <a:t> </a:t>
            </a:r>
          </a:p>
        </xdr:txBody>
      </xdr:sp>
      <xdr:cxnSp macro="">
        <xdr:nvCxnSpPr>
          <xdr:cNvPr id="160" name="Connettore diritto 159">
            <a:extLst>
              <a:ext uri="{FF2B5EF4-FFF2-40B4-BE49-F238E27FC236}">
                <a16:creationId xmlns:a16="http://schemas.microsoft.com/office/drawing/2014/main" id="{00000000-0008-0000-0100-0000A0000000}"/>
              </a:ext>
            </a:extLst>
          </xdr:cNvPr>
          <xdr:cNvCxnSpPr/>
        </xdr:nvCxnSpPr>
        <xdr:spPr>
          <a:xfrm>
            <a:off x="5984589" y="10754557"/>
            <a:ext cx="3109980" cy="9"/>
          </a:xfrm>
          <a:prstGeom prst="line">
            <a:avLst/>
          </a:prstGeom>
          <a:ln w="25400">
            <a:solidFill>
              <a:schemeClr val="accent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38099</xdr:colOff>
      <xdr:row>58</xdr:row>
      <xdr:rowOff>79557</xdr:rowOff>
    </xdr:from>
    <xdr:to>
      <xdr:col>23</xdr:col>
      <xdr:colOff>550658</xdr:colOff>
      <xdr:row>102</xdr:row>
      <xdr:rowOff>50982</xdr:rowOff>
    </xdr:to>
    <xdr:grpSp>
      <xdr:nvGrpSpPr>
        <xdr:cNvPr id="79" name="Gruppo 78">
          <a:extLst>
            <a:ext uri="{FF2B5EF4-FFF2-40B4-BE49-F238E27FC236}">
              <a16:creationId xmlns:a16="http://schemas.microsoft.com/office/drawing/2014/main" id="{00000000-0008-0000-0100-00004F000000}"/>
            </a:ext>
          </a:extLst>
        </xdr:cNvPr>
        <xdr:cNvGrpSpPr/>
      </xdr:nvGrpSpPr>
      <xdr:grpSpPr>
        <a:xfrm>
          <a:off x="38099" y="10623732"/>
          <a:ext cx="14781009" cy="7934325"/>
          <a:chOff x="190500" y="10229849"/>
          <a:chExt cx="14785068" cy="7934325"/>
        </a:xfrm>
      </xdr:grpSpPr>
      <xdr:grpSp>
        <xdr:nvGrpSpPr>
          <xdr:cNvPr id="73" name="Gruppo 72">
            <a:extLst>
              <a:ext uri="{FF2B5EF4-FFF2-40B4-BE49-F238E27FC236}">
                <a16:creationId xmlns:a16="http://schemas.microsoft.com/office/drawing/2014/main" id="{00000000-0008-0000-0100-000049000000}"/>
              </a:ext>
            </a:extLst>
          </xdr:cNvPr>
          <xdr:cNvGrpSpPr/>
        </xdr:nvGrpSpPr>
        <xdr:grpSpPr>
          <a:xfrm>
            <a:off x="190500" y="10229849"/>
            <a:ext cx="14785068" cy="7934325"/>
            <a:chOff x="190500" y="10220324"/>
            <a:chExt cx="14785068" cy="7934325"/>
          </a:xfrm>
        </xdr:grpSpPr>
        <xdr:grpSp>
          <xdr:nvGrpSpPr>
            <xdr:cNvPr id="11" name="Gruppo 10">
              <a:extLst>
                <a:ext uri="{FF2B5EF4-FFF2-40B4-BE49-F238E27FC236}">
                  <a16:creationId xmlns:a16="http://schemas.microsoft.com/office/drawing/2014/main" id="{00000000-0008-0000-0100-00000B000000}"/>
                </a:ext>
              </a:extLst>
            </xdr:cNvPr>
            <xdr:cNvGrpSpPr/>
          </xdr:nvGrpSpPr>
          <xdr:grpSpPr>
            <a:xfrm>
              <a:off x="190500" y="10220324"/>
              <a:ext cx="14785068" cy="7934325"/>
              <a:chOff x="190500" y="9239249"/>
              <a:chExt cx="14785068" cy="7934325"/>
            </a:xfrm>
          </xdr:grpSpPr>
          <xdr:sp macro="" textlink="">
            <xdr:nvSpPr>
              <xdr:cNvPr id="98" name="Rettangolo 97">
                <a:extLst>
                  <a:ext uri="{FF2B5EF4-FFF2-40B4-BE49-F238E27FC236}">
                    <a16:creationId xmlns:a16="http://schemas.microsoft.com/office/drawing/2014/main" id="{00000000-0008-0000-0100-000062000000}"/>
                  </a:ext>
                </a:extLst>
              </xdr:cNvPr>
              <xdr:cNvSpPr/>
            </xdr:nvSpPr>
            <xdr:spPr>
              <a:xfrm>
                <a:off x="190500" y="9239249"/>
                <a:ext cx="14785068" cy="793432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graphicFrame macro="">
            <xdr:nvGraphicFramePr>
              <xdr:cNvPr id="99" name="GraphFinancial">
                <a:extLst>
                  <a:ext uri="{FF2B5EF4-FFF2-40B4-BE49-F238E27FC236}">
                    <a16:creationId xmlns:a16="http://schemas.microsoft.com/office/drawing/2014/main" id="{00000000-0008-0000-0100-000063000000}"/>
                  </a:ext>
                </a:extLst>
              </xdr:cNvPr>
              <xdr:cNvGraphicFramePr>
                <a:graphicFrameLocks/>
              </xdr:cNvGraphicFramePr>
            </xdr:nvGraphicFramePr>
            <xdr:xfrm>
              <a:off x="438150" y="9858375"/>
              <a:ext cx="9810750" cy="3200400"/>
            </xdr:xfrm>
            <a:graphic>
              <a:graphicData uri="http://schemas.openxmlformats.org/drawingml/2006/chart">
                <c:chart xmlns:c="http://schemas.openxmlformats.org/drawingml/2006/chart" xmlns:r="http://schemas.openxmlformats.org/officeDocument/2006/relationships" r:id="rId15"/>
              </a:graphicData>
            </a:graphic>
          </xdr:graphicFrame>
          <xdr:grpSp>
            <xdr:nvGrpSpPr>
              <xdr:cNvPr id="9" name="Gruppo 8">
                <a:extLst>
                  <a:ext uri="{FF2B5EF4-FFF2-40B4-BE49-F238E27FC236}">
                    <a16:creationId xmlns:a16="http://schemas.microsoft.com/office/drawing/2014/main" id="{00000000-0008-0000-0100-000009000000}"/>
                  </a:ext>
                </a:extLst>
              </xdr:cNvPr>
              <xdr:cNvGrpSpPr/>
            </xdr:nvGrpSpPr>
            <xdr:grpSpPr>
              <a:xfrm>
                <a:off x="10839450" y="10315575"/>
                <a:ext cx="2924175" cy="1762124"/>
                <a:chOff x="10572750" y="12049125"/>
                <a:chExt cx="2924175" cy="1762124"/>
              </a:xfrm>
            </xdr:grpSpPr>
            <mc:AlternateContent xmlns:mc="http://schemas.openxmlformats.org/markup-compatibility/2006" xmlns:a14="http://schemas.microsoft.com/office/drawing/2010/main">
              <mc:Choice Requires="a14">
                <xdr:graphicFrame macro="">
                  <xdr:nvGraphicFramePr>
                    <xdr:cNvPr id="101" name="Category 6">
                      <a:extLst>
                        <a:ext uri="{FF2B5EF4-FFF2-40B4-BE49-F238E27FC236}">
                          <a16:creationId xmlns:a16="http://schemas.microsoft.com/office/drawing/2014/main" id="{00000000-0008-0000-0100-000065000000}"/>
                        </a:ext>
                      </a:extLst>
                    </xdr:cNvPr>
                    <xdr:cNvGraphicFramePr/>
                  </xdr:nvGraphicFramePr>
                  <xdr:xfrm>
                    <a:off x="10572750" y="12306301"/>
                    <a:ext cx="971550" cy="1190624"/>
                  </xdr:xfrm>
                  <a:graphic>
                    <a:graphicData uri="http://schemas.microsoft.com/office/drawing/2010/slicer">
                      <sle:slicer xmlns:sle="http://schemas.microsoft.com/office/drawing/2010/slicer" name="Category 6"/>
                    </a:graphicData>
                  </a:graphic>
                </xdr:graphicFrame>
              </mc:Choice>
              <mc:Fallback xmlns="">
                <xdr:sp macro="" textlink="">
                  <xdr:nvSpPr>
                    <xdr:cNvPr id="0" name=""/>
                    <xdr:cNvSpPr>
                      <a:spLocks noTextEdit="1"/>
                    </xdr:cNvSpPr>
                  </xdr:nvSpPr>
                  <xdr:spPr>
                    <a:xfrm>
                      <a:off x="10684126" y="11233334"/>
                      <a:ext cx="971283" cy="1190624"/>
                    </a:xfrm>
                    <a:prstGeom prst="rect">
                      <a:avLst/>
                    </a:prstGeom>
                    <a:solidFill>
                      <a:prstClr val="white"/>
                    </a:solidFill>
                    <a:ln w="1">
                      <a:solidFill>
                        <a:prstClr val="green"/>
                      </a:solidFill>
                    </a:ln>
                  </xdr:spPr>
                  <xdr:txBody>
                    <a:bodyPr vertOverflow="clip" horzOverflow="clip"/>
                    <a:lstStyle/>
                    <a:p>
                      <a:r>
                        <a:rPr lang="it-IT" sz="1100"/>
                        <a:t>Questa forma rappresenta un filtro dei dati. I filtri dei dati sono supportati in Excel 2010 o versione successiva.
Se la forma è stata modificata in una versione precedente di Excel o se la cartella di lavoro è stata salvata in Excel 2003 o versioni precedenti, non è possibile usare il filtro dei dati.</a:t>
                      </a:r>
                    </a:p>
                  </xdr:txBody>
                </xdr:sp>
              </mc:Fallback>
            </mc:AlternateContent>
            <mc:AlternateContent xmlns:mc="http://schemas.openxmlformats.org/markup-compatibility/2006" xmlns:a14="http://schemas.microsoft.com/office/drawing/2010/main">
              <mc:Choice Requires="a14">
                <xdr:graphicFrame macro="">
                  <xdr:nvGraphicFramePr>
                    <xdr:cNvPr id="102" name="Subcategory">
                      <a:extLst>
                        <a:ext uri="{FF2B5EF4-FFF2-40B4-BE49-F238E27FC236}">
                          <a16:creationId xmlns:a16="http://schemas.microsoft.com/office/drawing/2014/main" id="{00000000-0008-0000-0100-000066000000}"/>
                        </a:ext>
                      </a:extLst>
                    </xdr:cNvPr>
                    <xdr:cNvGraphicFramePr/>
                  </xdr:nvGraphicFramePr>
                  <xdr:xfrm>
                    <a:off x="11477622" y="12077701"/>
                    <a:ext cx="2009777" cy="1428750"/>
                  </xdr:xfrm>
                  <a:graphic>
                    <a:graphicData uri="http://schemas.microsoft.com/office/drawing/2010/slicer">
                      <sle:slicer xmlns:sle="http://schemas.microsoft.com/office/drawing/2010/slicer" name="Subcategory"/>
                    </a:graphicData>
                  </a:graphic>
                </xdr:graphicFrame>
              </mc:Choice>
              <mc:Fallback xmlns="">
                <xdr:sp macro="" textlink="">
                  <xdr:nvSpPr>
                    <xdr:cNvPr id="0" name=""/>
                    <xdr:cNvSpPr>
                      <a:spLocks noTextEdit="1"/>
                    </xdr:cNvSpPr>
                  </xdr:nvSpPr>
                  <xdr:spPr>
                    <a:xfrm>
                      <a:off x="11588750" y="11004734"/>
                      <a:ext cx="2009225" cy="1428750"/>
                    </a:xfrm>
                    <a:prstGeom prst="rect">
                      <a:avLst/>
                    </a:prstGeom>
                    <a:solidFill>
                      <a:prstClr val="white"/>
                    </a:solidFill>
                    <a:ln w="1">
                      <a:solidFill>
                        <a:prstClr val="green"/>
                      </a:solidFill>
                    </a:ln>
                  </xdr:spPr>
                  <xdr:txBody>
                    <a:bodyPr vertOverflow="clip" horzOverflow="clip"/>
                    <a:lstStyle/>
                    <a:p>
                      <a:r>
                        <a:rPr lang="it-IT" sz="1100"/>
                        <a:t>Questa forma rappresenta un filtro dei dati. I filtri dei dati sono supportati in Excel 2010 o versione successiva.
Se la forma è stata modificata in una versione precedente di Excel o se la cartella di lavoro è stata salvata in Excel 2003 o versioni precedenti, non è possibile usare il filtro dei dati.</a:t>
                      </a:r>
                    </a:p>
                  </xdr:txBody>
                </xdr:sp>
              </mc:Fallback>
            </mc:AlternateContent>
            <xdr:cxnSp macro="">
              <xdr:nvCxnSpPr>
                <xdr:cNvPr id="104" name="Connettore diritto 103">
                  <a:extLst>
                    <a:ext uri="{FF2B5EF4-FFF2-40B4-BE49-F238E27FC236}">
                      <a16:creationId xmlns:a16="http://schemas.microsoft.com/office/drawing/2014/main" id="{00000000-0008-0000-0100-000068000000}"/>
                    </a:ext>
                  </a:extLst>
                </xdr:cNvPr>
                <xdr:cNvCxnSpPr/>
              </xdr:nvCxnSpPr>
              <xdr:spPr>
                <a:xfrm rot="5400000" flipV="1">
                  <a:off x="10997403" y="12891303"/>
                  <a:ext cx="1008000" cy="1"/>
                </a:xfrm>
                <a:prstGeom prst="line">
                  <a:avLst/>
                </a:prstGeom>
                <a:ln>
                  <a:solidFill>
                    <a:schemeClr val="bg2"/>
                  </a:solidFill>
                </a:ln>
              </xdr:spPr>
              <xdr:style>
                <a:lnRef idx="1">
                  <a:schemeClr val="accent1"/>
                </a:lnRef>
                <a:fillRef idx="0">
                  <a:schemeClr val="accent1"/>
                </a:fillRef>
                <a:effectRef idx="0">
                  <a:schemeClr val="accent1"/>
                </a:effectRef>
                <a:fontRef idx="minor">
                  <a:schemeClr val="tx1"/>
                </a:fontRef>
              </xdr:style>
            </xdr:cxnSp>
            <xdr:sp macro="" textlink="">
              <xdr:nvSpPr>
                <xdr:cNvPr id="106" name="CasellaDiTesto 105">
                  <a:extLst>
                    <a:ext uri="{FF2B5EF4-FFF2-40B4-BE49-F238E27FC236}">
                      <a16:creationId xmlns:a16="http://schemas.microsoft.com/office/drawing/2014/main" id="{00000000-0008-0000-0100-00006A000000}"/>
                    </a:ext>
                  </a:extLst>
                </xdr:cNvPr>
                <xdr:cNvSpPr txBox="1"/>
              </xdr:nvSpPr>
              <xdr:spPr>
                <a:xfrm>
                  <a:off x="10572750" y="12049125"/>
                  <a:ext cx="1552575" cy="265274"/>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100" b="1">
                      <a:solidFill>
                        <a:schemeClr val="bg2">
                          <a:lumMod val="75000"/>
                        </a:schemeClr>
                      </a:solidFill>
                      <a:latin typeface="Arial" panose="020B0604020202020204" pitchFamily="34" charset="0"/>
                      <a:cs typeface="Arial" panose="020B0604020202020204" pitchFamily="34" charset="0"/>
                    </a:rPr>
                    <a:t>Filters</a:t>
                  </a:r>
                </a:p>
              </xdr:txBody>
            </xdr:sp>
            <xdr:pic>
              <xdr:nvPicPr>
                <xdr:cNvPr id="107" name="Immagine 106" descr="Risultati immagini per filter png">
                  <a:extLst>
                    <a:ext uri="{FF2B5EF4-FFF2-40B4-BE49-F238E27FC236}">
                      <a16:creationId xmlns:a16="http://schemas.microsoft.com/office/drawing/2014/main" id="{00000000-0008-0000-0100-00006B000000}"/>
                    </a:ext>
                  </a:extLst>
                </xdr:cNvPr>
                <xdr:cNvPicPr>
                  <a:picLocks noChangeAspect="1" noChangeArrowheads="1"/>
                </xdr:cNvPicPr>
              </xdr:nvPicPr>
              <xdr:blipFill>
                <a:blip xmlns:r="http://schemas.openxmlformats.org/officeDocument/2006/relationships" r:embed="rId2"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1172824" y="12068107"/>
                  <a:ext cx="190500" cy="190050"/>
                </a:xfrm>
                <a:prstGeom prst="rect">
                  <a:avLst/>
                </a:prstGeom>
                <a:solidFill>
                  <a:schemeClr val="bg1">
                    <a:lumMod val="95000"/>
                  </a:schemeClr>
                </a:solidFill>
                <a:extLst/>
              </xdr:spPr>
            </xdr:pic>
            <mc:AlternateContent xmlns:mc="http://schemas.openxmlformats.org/markup-compatibility/2006" xmlns:a14="http://schemas.microsoft.com/office/drawing/2010/main">
              <mc:Choice Requires="a14">
                <xdr:graphicFrame macro="">
                  <xdr:nvGraphicFramePr>
                    <xdr:cNvPr id="100" name="Year 6">
                      <a:extLst>
                        <a:ext uri="{FF2B5EF4-FFF2-40B4-BE49-F238E27FC236}">
                          <a16:creationId xmlns:a16="http://schemas.microsoft.com/office/drawing/2014/main" id="{00000000-0008-0000-0100-000064000000}"/>
                        </a:ext>
                      </a:extLst>
                    </xdr:cNvPr>
                    <xdr:cNvGraphicFramePr/>
                  </xdr:nvGraphicFramePr>
                  <xdr:xfrm>
                    <a:off x="10572750" y="13392150"/>
                    <a:ext cx="2924175" cy="419099"/>
                  </xdr:xfrm>
                  <a:graphic>
                    <a:graphicData uri="http://schemas.microsoft.com/office/drawing/2010/slicer">
                      <sle:slicer xmlns:sle="http://schemas.microsoft.com/office/drawing/2010/slicer" name="Year 6"/>
                    </a:graphicData>
                  </a:graphic>
                </xdr:graphicFrame>
              </mc:Choice>
              <mc:Fallback xmlns="">
                <xdr:sp macro="" textlink="">
                  <xdr:nvSpPr>
                    <xdr:cNvPr id="0" name=""/>
                    <xdr:cNvSpPr>
                      <a:spLocks noTextEdit="1"/>
                    </xdr:cNvSpPr>
                  </xdr:nvSpPr>
                  <xdr:spPr>
                    <a:xfrm>
                      <a:off x="10684126" y="12319183"/>
                      <a:ext cx="2923372" cy="419099"/>
                    </a:xfrm>
                    <a:prstGeom prst="rect">
                      <a:avLst/>
                    </a:prstGeom>
                    <a:solidFill>
                      <a:prstClr val="white"/>
                    </a:solidFill>
                    <a:ln w="1">
                      <a:solidFill>
                        <a:prstClr val="green"/>
                      </a:solidFill>
                    </a:ln>
                  </xdr:spPr>
                  <xdr:txBody>
                    <a:bodyPr vertOverflow="clip" horzOverflow="clip"/>
                    <a:lstStyle/>
                    <a:p>
                      <a:r>
                        <a:rPr lang="it-IT" sz="1100"/>
                        <a:t>Questa forma rappresenta un filtro dei dati. I filtri dei dati sono supportati in Excel 2010 o versione successiva.
Se la forma è stata modificata in una versione precedente di Excel o se la cartella di lavoro è stata salvata in Excel 2003 o versioni precedenti, non è possibile usare il filtro dei dati.</a:t>
                      </a:r>
                    </a:p>
                  </xdr:txBody>
                </xdr:sp>
              </mc:Fallback>
            </mc:AlternateContent>
            <xdr:cxnSp macro="">
              <xdr:nvCxnSpPr>
                <xdr:cNvPr id="105" name="Connettore diritto 104">
                  <a:extLst>
                    <a:ext uri="{FF2B5EF4-FFF2-40B4-BE49-F238E27FC236}">
                      <a16:creationId xmlns:a16="http://schemas.microsoft.com/office/drawing/2014/main" id="{00000000-0008-0000-0100-000069000000}"/>
                    </a:ext>
                  </a:extLst>
                </xdr:cNvPr>
                <xdr:cNvCxnSpPr/>
              </xdr:nvCxnSpPr>
              <xdr:spPr>
                <a:xfrm flipV="1">
                  <a:off x="10664028" y="13434228"/>
                  <a:ext cx="2736000" cy="1"/>
                </a:xfrm>
                <a:prstGeom prst="line">
                  <a:avLst/>
                </a:prstGeom>
                <a:ln>
                  <a:solidFill>
                    <a:schemeClr val="bg2"/>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3" name="CasellaDiTesto 102">
                <a:extLst>
                  <a:ext uri="{FF2B5EF4-FFF2-40B4-BE49-F238E27FC236}">
                    <a16:creationId xmlns:a16="http://schemas.microsoft.com/office/drawing/2014/main" id="{00000000-0008-0000-0100-000067000000}"/>
                  </a:ext>
                </a:extLst>
              </xdr:cNvPr>
              <xdr:cNvSpPr txBox="1"/>
            </xdr:nvSpPr>
            <xdr:spPr>
              <a:xfrm>
                <a:off x="10868025" y="12058650"/>
                <a:ext cx="2416687"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800">
                    <a:solidFill>
                      <a:schemeClr val="bg2">
                        <a:lumMod val="75000"/>
                      </a:schemeClr>
                    </a:solidFill>
                  </a:rPr>
                  <a:t>*NFD</a:t>
                </a:r>
                <a:r>
                  <a:rPr lang="it-IT" sz="800" baseline="0">
                    <a:solidFill>
                      <a:schemeClr val="bg2">
                        <a:lumMod val="75000"/>
                      </a:schemeClr>
                    </a:solidFill>
                  </a:rPr>
                  <a:t>:  net financial debt       NIC: net invested capital </a:t>
                </a:r>
                <a:endParaRPr lang="it-IT" sz="800">
                  <a:solidFill>
                    <a:schemeClr val="bg2">
                      <a:lumMod val="75000"/>
                    </a:schemeClr>
                  </a:solidFill>
                </a:endParaRPr>
              </a:p>
            </xdr:txBody>
          </xdr:sp>
        </xdr:grpSp>
        <xdr:sp macro="" textlink="">
          <xdr:nvSpPr>
            <xdr:cNvPr id="112" name="CasellaDiTesto 111">
              <a:extLst>
                <a:ext uri="{FF2B5EF4-FFF2-40B4-BE49-F238E27FC236}">
                  <a16:creationId xmlns:a16="http://schemas.microsoft.com/office/drawing/2014/main" id="{00000000-0008-0000-0100-000070000000}"/>
                </a:ext>
              </a:extLst>
            </xdr:cNvPr>
            <xdr:cNvSpPr txBox="1"/>
          </xdr:nvSpPr>
          <xdr:spPr>
            <a:xfrm>
              <a:off x="5819565" y="10334625"/>
              <a:ext cx="3650833" cy="406389"/>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1800" b="1">
                  <a:solidFill>
                    <a:schemeClr val="bg2">
                      <a:lumMod val="75000"/>
                    </a:schemeClr>
                  </a:solidFill>
                  <a:latin typeface="Arial" panose="020B0604020202020204" pitchFamily="34" charset="0"/>
                  <a:cs typeface="Arial" panose="020B0604020202020204" pitchFamily="34" charset="0"/>
                </a:rPr>
                <a:t>Consolidated Financial Results</a:t>
              </a:r>
              <a:endParaRPr lang="it-IT" sz="1800" b="0">
                <a:solidFill>
                  <a:schemeClr val="bg2">
                    <a:lumMod val="75000"/>
                  </a:schemeClr>
                </a:solidFill>
                <a:latin typeface="Arial" panose="020B0604020202020204" pitchFamily="34" charset="0"/>
                <a:cs typeface="Arial" panose="020B0604020202020204" pitchFamily="34" charset="0"/>
              </a:endParaRPr>
            </a:p>
          </xdr:txBody>
        </xdr:sp>
        <xdr:cxnSp macro="">
          <xdr:nvCxnSpPr>
            <xdr:cNvPr id="113" name="Connettore diritto 112">
              <a:extLst>
                <a:ext uri="{FF2B5EF4-FFF2-40B4-BE49-F238E27FC236}">
                  <a16:creationId xmlns:a16="http://schemas.microsoft.com/office/drawing/2014/main" id="{00000000-0008-0000-0100-000071000000}"/>
                </a:ext>
              </a:extLst>
            </xdr:cNvPr>
            <xdr:cNvCxnSpPr/>
          </xdr:nvCxnSpPr>
          <xdr:spPr>
            <a:xfrm flipV="1">
              <a:off x="5879434" y="10683692"/>
              <a:ext cx="3495689" cy="23240"/>
            </a:xfrm>
            <a:prstGeom prst="line">
              <a:avLst/>
            </a:prstGeom>
            <a:ln w="25400">
              <a:solidFill>
                <a:schemeClr val="accent5"/>
              </a:solidFill>
            </a:ln>
          </xdr:spPr>
          <xdr:style>
            <a:lnRef idx="1">
              <a:schemeClr val="accent1"/>
            </a:lnRef>
            <a:fillRef idx="0">
              <a:schemeClr val="accent1"/>
            </a:fillRef>
            <a:effectRef idx="0">
              <a:schemeClr val="accent1"/>
            </a:effectRef>
            <a:fontRef idx="minor">
              <a:schemeClr val="tx1"/>
            </a:fontRef>
          </xdr:style>
        </xdr:cxnSp>
      </xdr:grpSp>
      <xdr:graphicFrame macro="">
        <xdr:nvGraphicFramePr>
          <xdr:cNvPr id="153" name="Grafico 152">
            <a:extLst>
              <a:ext uri="{FF2B5EF4-FFF2-40B4-BE49-F238E27FC236}">
                <a16:creationId xmlns:a16="http://schemas.microsoft.com/office/drawing/2014/main" id="{00000000-0008-0000-0100-000099000000}"/>
              </a:ext>
            </a:extLst>
          </xdr:cNvPr>
          <xdr:cNvGraphicFramePr>
            <a:graphicFrameLocks/>
          </xdr:cNvGraphicFramePr>
        </xdr:nvGraphicFramePr>
        <xdr:xfrm>
          <a:off x="3296243" y="14963775"/>
          <a:ext cx="9458325" cy="3043238"/>
        </xdr:xfrm>
        <a:graphic>
          <a:graphicData uri="http://schemas.openxmlformats.org/drawingml/2006/chart">
            <c:chart xmlns:c="http://schemas.openxmlformats.org/drawingml/2006/chart" xmlns:r="http://schemas.openxmlformats.org/officeDocument/2006/relationships" r:id="rId16"/>
          </a:graphicData>
        </a:graphic>
      </xdr:graphicFrame>
      <xdr:sp macro="" textlink="">
        <xdr:nvSpPr>
          <xdr:cNvPr id="154" name="CasellaDiTesto 153">
            <a:extLst>
              <a:ext uri="{FF2B5EF4-FFF2-40B4-BE49-F238E27FC236}">
                <a16:creationId xmlns:a16="http://schemas.microsoft.com/office/drawing/2014/main" id="{00000000-0008-0000-0100-00009A000000}"/>
              </a:ext>
            </a:extLst>
          </xdr:cNvPr>
          <xdr:cNvSpPr txBox="1"/>
        </xdr:nvSpPr>
        <xdr:spPr>
          <a:xfrm>
            <a:off x="6734159" y="14392275"/>
            <a:ext cx="1857375" cy="406389"/>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1400" b="1">
                <a:solidFill>
                  <a:schemeClr val="bg2">
                    <a:lumMod val="75000"/>
                  </a:schemeClr>
                </a:solidFill>
                <a:latin typeface="Arial" panose="020B0604020202020204" pitchFamily="34" charset="0"/>
                <a:cs typeface="Arial" panose="020B0604020202020204" pitchFamily="34" charset="0"/>
              </a:rPr>
              <a:t>Net Cash Flow </a:t>
            </a:r>
            <a:r>
              <a:rPr lang="it-IT" sz="1100" b="0">
                <a:solidFill>
                  <a:schemeClr val="bg2">
                    <a:lumMod val="75000"/>
                  </a:schemeClr>
                </a:solidFill>
                <a:latin typeface="Arial" panose="020B0604020202020204" pitchFamily="34" charset="0"/>
                <a:cs typeface="Arial" panose="020B0604020202020204" pitchFamily="34" charset="0"/>
              </a:rPr>
              <a:t>(bln€) </a:t>
            </a:r>
            <a:endParaRPr lang="it-IT" sz="1400" b="0">
              <a:solidFill>
                <a:schemeClr val="bg2">
                  <a:lumMod val="75000"/>
                </a:schemeClr>
              </a:solidFill>
              <a:latin typeface="Arial" panose="020B0604020202020204" pitchFamily="34" charset="0"/>
              <a:cs typeface="Arial" panose="020B0604020202020204" pitchFamily="34" charset="0"/>
            </a:endParaRPr>
          </a:p>
        </xdr:txBody>
      </xdr:sp>
    </xdr:grpSp>
    <xdr:clientData/>
  </xdr:twoCellAnchor>
  <xdr:twoCellAnchor>
    <xdr:from>
      <xdr:col>0</xdr:col>
      <xdr:colOff>38099</xdr:colOff>
      <xdr:row>9</xdr:row>
      <xdr:rowOff>123823</xdr:rowOff>
    </xdr:from>
    <xdr:to>
      <xdr:col>11</xdr:col>
      <xdr:colOff>464872</xdr:colOff>
      <xdr:row>35</xdr:row>
      <xdr:rowOff>166123</xdr:rowOff>
    </xdr:to>
    <xdr:grpSp>
      <xdr:nvGrpSpPr>
        <xdr:cNvPr id="16" name="Gruppo 15">
          <a:extLst>
            <a:ext uri="{FF2B5EF4-FFF2-40B4-BE49-F238E27FC236}">
              <a16:creationId xmlns:a16="http://schemas.microsoft.com/office/drawing/2014/main" id="{00000000-0008-0000-0100-000010000000}"/>
            </a:ext>
          </a:extLst>
        </xdr:cNvPr>
        <xdr:cNvGrpSpPr/>
      </xdr:nvGrpSpPr>
      <xdr:grpSpPr>
        <a:xfrm>
          <a:off x="38099" y="1781173"/>
          <a:ext cx="7380023" cy="4766700"/>
          <a:chOff x="38099" y="1781173"/>
          <a:chExt cx="7380023" cy="4042800"/>
        </a:xfrm>
      </xdr:grpSpPr>
      <xdr:grpSp>
        <xdr:nvGrpSpPr>
          <xdr:cNvPr id="28" name="Gruppo 27">
            <a:extLst>
              <a:ext uri="{FF2B5EF4-FFF2-40B4-BE49-F238E27FC236}">
                <a16:creationId xmlns:a16="http://schemas.microsoft.com/office/drawing/2014/main" id="{00000000-0008-0000-0100-00001C000000}"/>
              </a:ext>
            </a:extLst>
          </xdr:cNvPr>
          <xdr:cNvGrpSpPr/>
        </xdr:nvGrpSpPr>
        <xdr:grpSpPr>
          <a:xfrm>
            <a:off x="38099" y="1781173"/>
            <a:ext cx="7380023" cy="4042800"/>
            <a:chOff x="133652" y="352424"/>
            <a:chExt cx="7380000" cy="4052380"/>
          </a:xfrm>
        </xdr:grpSpPr>
        <xdr:grpSp>
          <xdr:nvGrpSpPr>
            <xdr:cNvPr id="45" name="Gruppo 44">
              <a:extLst>
                <a:ext uri="{FF2B5EF4-FFF2-40B4-BE49-F238E27FC236}">
                  <a16:creationId xmlns:a16="http://schemas.microsoft.com/office/drawing/2014/main" id="{00000000-0008-0000-0100-00002D000000}"/>
                </a:ext>
              </a:extLst>
            </xdr:cNvPr>
            <xdr:cNvGrpSpPr/>
          </xdr:nvGrpSpPr>
          <xdr:grpSpPr>
            <a:xfrm>
              <a:off x="133652" y="352424"/>
              <a:ext cx="7380000" cy="4052380"/>
              <a:chOff x="1009952" y="809624"/>
              <a:chExt cx="7380000" cy="4052380"/>
            </a:xfrm>
          </xdr:grpSpPr>
          <xdr:grpSp>
            <xdr:nvGrpSpPr>
              <xdr:cNvPr id="34" name="Gruppo 33">
                <a:extLst>
                  <a:ext uri="{FF2B5EF4-FFF2-40B4-BE49-F238E27FC236}">
                    <a16:creationId xmlns:a16="http://schemas.microsoft.com/office/drawing/2014/main" id="{00000000-0008-0000-0100-000022000000}"/>
                  </a:ext>
                </a:extLst>
              </xdr:cNvPr>
              <xdr:cNvGrpSpPr/>
            </xdr:nvGrpSpPr>
            <xdr:grpSpPr>
              <a:xfrm>
                <a:off x="1009952" y="809624"/>
                <a:ext cx="7380000" cy="4052380"/>
                <a:chOff x="752475" y="-276226"/>
                <a:chExt cx="8135193" cy="4052380"/>
              </a:xfrm>
            </xdr:grpSpPr>
            <xdr:grpSp>
              <xdr:nvGrpSpPr>
                <xdr:cNvPr id="32" name="Gruppo 31">
                  <a:extLst>
                    <a:ext uri="{FF2B5EF4-FFF2-40B4-BE49-F238E27FC236}">
                      <a16:creationId xmlns:a16="http://schemas.microsoft.com/office/drawing/2014/main" id="{00000000-0008-0000-0100-000020000000}"/>
                    </a:ext>
                  </a:extLst>
                </xdr:cNvPr>
                <xdr:cNvGrpSpPr/>
              </xdr:nvGrpSpPr>
              <xdr:grpSpPr>
                <a:xfrm>
                  <a:off x="752475" y="-276226"/>
                  <a:ext cx="8135193" cy="4052380"/>
                  <a:chOff x="752475" y="-276226"/>
                  <a:chExt cx="8135193" cy="4052380"/>
                </a:xfrm>
              </xdr:grpSpPr>
              <xdr:sp macro="" textlink="">
                <xdr:nvSpPr>
                  <xdr:cNvPr id="26" name="Rettangolo 25">
                    <a:extLst>
                      <a:ext uri="{FF2B5EF4-FFF2-40B4-BE49-F238E27FC236}">
                        <a16:creationId xmlns:a16="http://schemas.microsoft.com/office/drawing/2014/main" id="{00000000-0008-0000-0100-00001A000000}"/>
                      </a:ext>
                    </a:extLst>
                  </xdr:cNvPr>
                  <xdr:cNvSpPr/>
                </xdr:nvSpPr>
                <xdr:spPr>
                  <a:xfrm>
                    <a:off x="752475" y="-276226"/>
                    <a:ext cx="8135193" cy="405238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mc:AlternateContent xmlns:mc="http://schemas.openxmlformats.org/markup-compatibility/2006">
                <mc:Choice xmlns:cx4="http://schemas.microsoft.com/office/drawing/2016/5/10/chartex" Requires="cx4">
                  <xdr:graphicFrame macro="">
                    <xdr:nvGraphicFramePr>
                      <xdr:cNvPr id="2" name="Grafico 1">
                        <a:extLst>
                          <a:ext uri="{FF2B5EF4-FFF2-40B4-BE49-F238E27FC236}">
                            <a16:creationId xmlns:a16="http://schemas.microsoft.com/office/drawing/2014/main" id="{00000000-0008-0000-0100-000002000000}"/>
                          </a:ext>
                        </a:extLst>
                      </xdr:cNvPr>
                      <xdr:cNvGraphicFramePr/>
                    </xdr:nvGraphicFramePr>
                    <xdr:xfrm>
                      <a:off x="5204331" y="549733"/>
                      <a:ext cx="3601071" cy="3164925"/>
                    </xdr:xfrm>
                    <a:graphic>
                      <a:graphicData uri="http://schemas.microsoft.com/office/drawing/2014/chartex">
                        <cx:chart xmlns:cx="http://schemas.microsoft.com/office/drawing/2014/chartex" xmlns:r="http://schemas.openxmlformats.org/officeDocument/2006/relationships" r:id="rId17"/>
                      </a:graphicData>
                    </a:graphic>
                  </xdr:graphicFrame>
                </mc:Choice>
                <mc:Fallback>
                  <xdr:sp macro="" textlink="">
                    <xdr:nvSpPr>
                      <xdr:cNvPr id="0" name=""/>
                      <xdr:cNvSpPr>
                        <a:spLocks noTextEdit="1"/>
                      </xdr:cNvSpPr>
                    </xdr:nvSpPr>
                    <xdr:spPr>
                      <a:xfrm>
                        <a:off x="5204331" y="549733"/>
                        <a:ext cx="3601071" cy="3164925"/>
                      </a:xfrm>
                      <a:prstGeom prst="rect">
                        <a:avLst/>
                      </a:prstGeom>
                      <a:solidFill>
                        <a:prstClr val="white"/>
                      </a:solidFill>
                      <a:ln w="1">
                        <a:solidFill>
                          <a:prstClr val="green"/>
                        </a:solidFill>
                      </a:ln>
                    </xdr:spPr>
                    <xdr:txBody>
                      <a:bodyPr vertOverflow="clip" horzOverflow="clip"/>
                      <a:lstStyle/>
                      <a:p>
                        <a:r>
                          <a:rPr lang="it-IT" sz="1100"/>
                          <a:t>Il grafico non è disponibile in questa versione di Excel.
Se si modifica questa forma o si salva la cartella di lavoro in un formato di file diverso, il grafico verrà danneggiato in modo permanente.</a:t>
                        </a:r>
                      </a:p>
                    </xdr:txBody>
                  </xdr:sp>
                </mc:Fallback>
              </mc:AlternateContent>
            </xdr:grpSp>
            <xdr:grpSp>
              <xdr:nvGrpSpPr>
                <xdr:cNvPr id="33" name="Gruppo 32">
                  <a:extLst>
                    <a:ext uri="{FF2B5EF4-FFF2-40B4-BE49-F238E27FC236}">
                      <a16:creationId xmlns:a16="http://schemas.microsoft.com/office/drawing/2014/main" id="{00000000-0008-0000-0100-000021000000}"/>
                    </a:ext>
                  </a:extLst>
                </xdr:cNvPr>
                <xdr:cNvGrpSpPr/>
              </xdr:nvGrpSpPr>
              <xdr:grpSpPr>
                <a:xfrm>
                  <a:off x="829576" y="525439"/>
                  <a:ext cx="4160208" cy="3170357"/>
                  <a:chOff x="829576" y="525439"/>
                  <a:chExt cx="4160208" cy="3170357"/>
                </a:xfrm>
              </xdr:grpSpPr>
              <xdr:graphicFrame macro="">
                <xdr:nvGraphicFramePr>
                  <xdr:cNvPr id="8" name="GraphPlants">
                    <a:extLst>
                      <a:ext uri="{FF2B5EF4-FFF2-40B4-BE49-F238E27FC236}">
                        <a16:creationId xmlns:a16="http://schemas.microsoft.com/office/drawing/2014/main" id="{00000000-0008-0000-0100-000008000000}"/>
                      </a:ext>
                    </a:extLst>
                  </xdr:cNvPr>
                  <xdr:cNvGraphicFramePr>
                    <a:graphicFrameLocks/>
                  </xdr:cNvGraphicFramePr>
                </xdr:nvGraphicFramePr>
                <xdr:xfrm>
                  <a:off x="829576" y="525439"/>
                  <a:ext cx="4160208" cy="2160612"/>
                </xdr:xfrm>
                <a:graphic>
                  <a:graphicData uri="http://schemas.openxmlformats.org/drawingml/2006/chart">
                    <c:chart xmlns:c="http://schemas.openxmlformats.org/drawingml/2006/chart" xmlns:r="http://schemas.openxmlformats.org/officeDocument/2006/relationships" r:id="rId18"/>
                  </a:graphicData>
                </a:graphic>
              </xdr:graphicFrame>
              <xdr:grpSp>
                <xdr:nvGrpSpPr>
                  <xdr:cNvPr id="31" name="Gruppo 30">
                    <a:extLst>
                      <a:ext uri="{FF2B5EF4-FFF2-40B4-BE49-F238E27FC236}">
                        <a16:creationId xmlns:a16="http://schemas.microsoft.com/office/drawing/2014/main" id="{00000000-0008-0000-0100-00001F000000}"/>
                      </a:ext>
                    </a:extLst>
                  </xdr:cNvPr>
                  <xdr:cNvGrpSpPr/>
                </xdr:nvGrpSpPr>
                <xdr:grpSpPr>
                  <a:xfrm>
                    <a:off x="1599147" y="2858897"/>
                    <a:ext cx="3258386" cy="836899"/>
                    <a:chOff x="1599147" y="2858897"/>
                    <a:chExt cx="3258386" cy="836899"/>
                  </a:xfrm>
                </xdr:grpSpPr>
                <mc:AlternateContent xmlns:mc="http://schemas.openxmlformats.org/markup-compatibility/2006" xmlns:a14="http://schemas.microsoft.com/office/drawing/2010/main">
                  <mc:Choice Requires="a14">
                    <xdr:graphicFrame macro="">
                      <xdr:nvGraphicFramePr>
                        <xdr:cNvPr id="5" name="Category">
                          <a:extLst>
                            <a:ext uri="{FF2B5EF4-FFF2-40B4-BE49-F238E27FC236}">
                              <a16:creationId xmlns:a16="http://schemas.microsoft.com/office/drawing/2014/main" id="{00000000-0008-0000-0100-000005000000}"/>
                            </a:ext>
                          </a:extLst>
                        </xdr:cNvPr>
                        <xdr:cNvGraphicFramePr/>
                      </xdr:nvGraphicFramePr>
                      <xdr:xfrm>
                        <a:off x="1599152" y="2858897"/>
                        <a:ext cx="3258378" cy="451692"/>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806182" y="4908884"/>
                          <a:ext cx="2955911" cy="450624"/>
                        </a:xfrm>
                        <a:prstGeom prst="rect">
                          <a:avLst/>
                        </a:prstGeom>
                        <a:solidFill>
                          <a:prstClr val="white"/>
                        </a:solidFill>
                        <a:ln w="1">
                          <a:solidFill>
                            <a:prstClr val="green"/>
                          </a:solidFill>
                        </a:ln>
                      </xdr:spPr>
                      <xdr:txBody>
                        <a:bodyPr vertOverflow="clip" horzOverflow="clip"/>
                        <a:lstStyle/>
                        <a:p>
                          <a:r>
                            <a:rPr lang="it-IT" sz="1100"/>
                            <a:t>Questa forma rappresenta un filtro dei dati. I filtri dei dati sono supportati in Excel 2010 o versione successiva.
Se la forma è stata modificata in una versione precedente di Excel o se la cartella di lavoro è stata salvata in Excel 2003 o versioni precedenti, non è possibile usare il filtro dei dati.</a:t>
                          </a:r>
                        </a:p>
                      </xdr:txBody>
                    </xdr:sp>
                  </mc:Fallback>
                </mc:AlternateContent>
                <mc:AlternateContent xmlns:mc="http://schemas.openxmlformats.org/markup-compatibility/2006" xmlns:a14="http://schemas.microsoft.com/office/drawing/2010/main">
                  <mc:Choice Requires="a14">
                    <xdr:graphicFrame macro="">
                      <xdr:nvGraphicFramePr>
                        <xdr:cNvPr id="24" name="Technology">
                          <a:extLst>
                            <a:ext uri="{FF2B5EF4-FFF2-40B4-BE49-F238E27FC236}">
                              <a16:creationId xmlns:a16="http://schemas.microsoft.com/office/drawing/2014/main" id="{00000000-0008-0000-0100-000018000000}"/>
                            </a:ext>
                          </a:extLst>
                        </xdr:cNvPr>
                        <xdr:cNvGraphicFramePr/>
                      </xdr:nvGraphicFramePr>
                      <xdr:xfrm>
                        <a:off x="1599147" y="3130761"/>
                        <a:ext cx="3258386" cy="565035"/>
                      </xdr:xfrm>
                      <a:graphic>
                        <a:graphicData uri="http://schemas.microsoft.com/office/drawing/2010/slicer">
                          <sle:slicer xmlns:sle="http://schemas.microsoft.com/office/drawing/2010/slicer" name="Technology"/>
                        </a:graphicData>
                      </a:graphic>
                    </xdr:graphicFrame>
                  </mc:Choice>
                  <mc:Fallback xmlns="">
                    <xdr:sp macro="" textlink="">
                      <xdr:nvSpPr>
                        <xdr:cNvPr id="0" name=""/>
                        <xdr:cNvSpPr>
                          <a:spLocks noTextEdit="1"/>
                        </xdr:cNvSpPr>
                      </xdr:nvSpPr>
                      <xdr:spPr>
                        <a:xfrm>
                          <a:off x="806177" y="5180105"/>
                          <a:ext cx="2955918" cy="563700"/>
                        </a:xfrm>
                        <a:prstGeom prst="rect">
                          <a:avLst/>
                        </a:prstGeom>
                        <a:solidFill>
                          <a:prstClr val="white"/>
                        </a:solidFill>
                        <a:ln w="1">
                          <a:solidFill>
                            <a:prstClr val="green"/>
                          </a:solidFill>
                        </a:ln>
                      </xdr:spPr>
                      <xdr:txBody>
                        <a:bodyPr vertOverflow="clip" horzOverflow="clip"/>
                        <a:lstStyle/>
                        <a:p>
                          <a:r>
                            <a:rPr lang="it-IT" sz="1100"/>
                            <a:t>Questa forma rappresenta un filtro dei dati. I filtri dei dati sono supportati in Excel 2010 o versione successiva.
Se la forma è stata modificata in una versione precedente di Excel o se la cartella di lavoro è stata salvata in Excel 2003 o versioni precedenti, non è possibile usare il filtro dei dati.</a:t>
                          </a:r>
                        </a:p>
                      </xdr:txBody>
                    </xdr:sp>
                  </mc:Fallback>
                </mc:AlternateContent>
              </xdr:grpSp>
              <xdr:cxnSp macro="">
                <xdr:nvCxnSpPr>
                  <xdr:cNvPr id="29" name="Connettore diritto 28">
                    <a:extLst>
                      <a:ext uri="{FF2B5EF4-FFF2-40B4-BE49-F238E27FC236}">
                        <a16:creationId xmlns:a16="http://schemas.microsoft.com/office/drawing/2014/main" id="{00000000-0008-0000-0100-00001D000000}"/>
                      </a:ext>
                    </a:extLst>
                  </xdr:cNvPr>
                  <xdr:cNvCxnSpPr/>
                </xdr:nvCxnSpPr>
                <xdr:spPr>
                  <a:xfrm flipV="1">
                    <a:off x="1695363" y="3162391"/>
                    <a:ext cx="3046661" cy="1"/>
                  </a:xfrm>
                  <a:prstGeom prst="line">
                    <a:avLst/>
                  </a:prstGeom>
                  <a:ln>
                    <a:solidFill>
                      <a:schemeClr val="bg2"/>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35" name="CasellaDiTesto 34">
                <a:extLst>
                  <a:ext uri="{FF2B5EF4-FFF2-40B4-BE49-F238E27FC236}">
                    <a16:creationId xmlns:a16="http://schemas.microsoft.com/office/drawing/2014/main" id="{00000000-0008-0000-0100-000023000000}"/>
                  </a:ext>
                </a:extLst>
              </xdr:cNvPr>
              <xdr:cNvSpPr txBox="1"/>
            </xdr:nvSpPr>
            <xdr:spPr>
              <a:xfrm>
                <a:off x="3371850" y="818812"/>
                <a:ext cx="2662588" cy="358638"/>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800" b="1">
                    <a:solidFill>
                      <a:schemeClr val="bg2">
                        <a:lumMod val="75000"/>
                      </a:schemeClr>
                    </a:solidFill>
                    <a:latin typeface="Arial" panose="020B0604020202020204" pitchFamily="34" charset="0"/>
                    <a:cs typeface="Arial" panose="020B0604020202020204" pitchFamily="34" charset="0"/>
                  </a:rPr>
                  <a:t>Generation</a:t>
                </a:r>
                <a:r>
                  <a:rPr lang="it-IT" sz="1800" b="1" baseline="0">
                    <a:solidFill>
                      <a:schemeClr val="bg2">
                        <a:lumMod val="75000"/>
                      </a:schemeClr>
                    </a:solidFill>
                    <a:latin typeface="Arial" panose="020B0604020202020204" pitchFamily="34" charset="0"/>
                    <a:cs typeface="Arial" panose="020B0604020202020204" pitchFamily="34" charset="0"/>
                  </a:rPr>
                  <a:t> Plants </a:t>
                </a:r>
                <a:r>
                  <a:rPr lang="it-IT" sz="1200" b="0" baseline="0">
                    <a:solidFill>
                      <a:schemeClr val="bg2">
                        <a:lumMod val="75000"/>
                      </a:schemeClr>
                    </a:solidFill>
                    <a:latin typeface="Arial" panose="020B0604020202020204" pitchFamily="34" charset="0"/>
                    <a:cs typeface="Arial" panose="020B0604020202020204" pitchFamily="34" charset="0"/>
                  </a:rPr>
                  <a:t>(MW)</a:t>
                </a:r>
                <a:endParaRPr lang="it-IT" sz="1800" b="0">
                  <a:solidFill>
                    <a:schemeClr val="bg2">
                      <a:lumMod val="75000"/>
                    </a:schemeClr>
                  </a:solidFill>
                  <a:latin typeface="Arial" panose="020B0604020202020204" pitchFamily="34" charset="0"/>
                  <a:cs typeface="Arial" panose="020B0604020202020204" pitchFamily="34" charset="0"/>
                </a:endParaRPr>
              </a:p>
            </xdr:txBody>
          </xdr:sp>
          <xdr:cxnSp macro="">
            <xdr:nvCxnSpPr>
              <xdr:cNvPr id="43" name="Connettore diritto 42">
                <a:extLst>
                  <a:ext uri="{FF2B5EF4-FFF2-40B4-BE49-F238E27FC236}">
                    <a16:creationId xmlns:a16="http://schemas.microsoft.com/office/drawing/2014/main" id="{00000000-0008-0000-0100-00002B000000}"/>
                  </a:ext>
                </a:extLst>
              </xdr:cNvPr>
              <xdr:cNvCxnSpPr/>
            </xdr:nvCxnSpPr>
            <xdr:spPr>
              <a:xfrm>
                <a:off x="3469821" y="1171236"/>
                <a:ext cx="2340000" cy="0"/>
              </a:xfrm>
              <a:prstGeom prst="line">
                <a:avLst/>
              </a:prstGeom>
              <a:ln w="25400">
                <a:solidFill>
                  <a:schemeClr val="tx2"/>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7" name="CasellaDiTesto 26">
              <a:extLst>
                <a:ext uri="{FF2B5EF4-FFF2-40B4-BE49-F238E27FC236}">
                  <a16:creationId xmlns:a16="http://schemas.microsoft.com/office/drawing/2014/main" id="{00000000-0008-0000-0100-00001B000000}"/>
                </a:ext>
              </a:extLst>
            </xdr:cNvPr>
            <xdr:cNvSpPr txBox="1"/>
          </xdr:nvSpPr>
          <xdr:spPr>
            <a:xfrm>
              <a:off x="1076324" y="3305266"/>
              <a:ext cx="2790826" cy="254557"/>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t-IT" sz="1100" b="1">
                  <a:solidFill>
                    <a:schemeClr val="bg2">
                      <a:lumMod val="75000"/>
                    </a:schemeClr>
                  </a:solidFill>
                  <a:latin typeface="Arial" panose="020B0604020202020204" pitchFamily="34" charset="0"/>
                  <a:cs typeface="Arial" panose="020B0604020202020204" pitchFamily="34" charset="0"/>
                </a:rPr>
                <a:t>Filters</a:t>
              </a:r>
            </a:p>
          </xdr:txBody>
        </xdr:sp>
        <xdr:pic>
          <xdr:nvPicPr>
            <xdr:cNvPr id="41" name="Immagine 40" descr="Risultati immagini per filter png">
              <a:extLst>
                <a:ext uri="{FF2B5EF4-FFF2-40B4-BE49-F238E27FC236}">
                  <a16:creationId xmlns:a16="http://schemas.microsoft.com/office/drawing/2014/main" id="{00000000-0008-0000-0100-000029000000}"/>
                </a:ext>
              </a:extLst>
            </xdr:cNvPr>
            <xdr:cNvPicPr>
              <a:picLocks noChangeAspect="1" noChangeArrowheads="1"/>
            </xdr:cNvPicPr>
          </xdr:nvPicPr>
          <xdr:blipFill>
            <a:blip xmlns:r="http://schemas.openxmlformats.org/officeDocument/2006/relationships" r:embed="rId2"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95351" y="3305197"/>
              <a:ext cx="190500" cy="190500"/>
            </a:xfrm>
            <a:prstGeom prst="rect">
              <a:avLst/>
            </a:prstGeom>
            <a:solidFill>
              <a:schemeClr val="bg1">
                <a:lumMod val="95000"/>
              </a:schemeClr>
            </a:solidFill>
            <a:extLst/>
          </xdr:spPr>
        </xdr:pic>
      </xdr:grpSp>
      <mc:AlternateContent xmlns:mc="http://schemas.openxmlformats.org/markup-compatibility/2006">
        <mc:Choice xmlns:a14="http://schemas.microsoft.com/office/drawing/2010/main" Requires="a14">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6162391" y="2809874"/>
                <a:ext cx="1143004" cy="266700"/>
              </a:xfrm>
              <a:prstGeom prst="rect">
                <a:avLst/>
              </a:prstGeom>
              <a:noFill/>
              <a:ln>
                <a:noFill/>
              </a:ln>
              <a:extLst>
                <a:ext uri="{91240B29-F687-4F45-9708-019B960494DF}">
                  <a14:hiddenLine w="9525">
                    <a:noFill/>
                    <a:miter lim="800000"/>
                    <a:headEnd/>
                    <a:tailEnd/>
                  </a14:hiddenLine>
                </a:ext>
              </a:extLst>
            </xdr:spPr>
          </xdr:sp>
        </mc:Choice>
        <mc:Fallback/>
      </mc:AlternateContent>
    </xdr:grpSp>
    <xdr:clientData/>
  </xdr:twoCellAnchor>
  <xdr:twoCellAnchor>
    <xdr:from>
      <xdr:col>2</xdr:col>
      <xdr:colOff>325964</xdr:colOff>
      <xdr:row>12</xdr:row>
      <xdr:rowOff>123823</xdr:rowOff>
    </xdr:from>
    <xdr:to>
      <xdr:col>10</xdr:col>
      <xdr:colOff>76199</xdr:colOff>
      <xdr:row>15</xdr:row>
      <xdr:rowOff>60055</xdr:rowOff>
    </xdr:to>
    <xdr:sp macro="" textlink="">
      <xdr:nvSpPr>
        <xdr:cNvPr id="155" name="CasellaDiTesto 154">
          <a:extLst>
            <a:ext uri="{FF2B5EF4-FFF2-40B4-BE49-F238E27FC236}">
              <a16:creationId xmlns:a16="http://schemas.microsoft.com/office/drawing/2014/main" id="{00000000-0008-0000-0100-00009B000000}"/>
            </a:ext>
          </a:extLst>
        </xdr:cNvPr>
        <xdr:cNvSpPr txBox="1"/>
      </xdr:nvSpPr>
      <xdr:spPr>
        <a:xfrm>
          <a:off x="1545164" y="2324098"/>
          <a:ext cx="4665135" cy="479157"/>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1400" b="1">
              <a:solidFill>
                <a:schemeClr val="bg2">
                  <a:lumMod val="75000"/>
                </a:schemeClr>
              </a:solidFill>
              <a:latin typeface="Arial" panose="020B0604020202020204" pitchFamily="34" charset="0"/>
              <a:cs typeface="Arial" panose="020B0604020202020204" pitchFamily="34" charset="0"/>
            </a:rPr>
            <a:t>6.1GW of installed capacity in Italy  @ Dec.31, 2018 </a:t>
          </a:r>
          <a:endParaRPr lang="it-IT" sz="1400" b="0">
            <a:solidFill>
              <a:schemeClr val="bg2">
                <a:lumMod val="75000"/>
              </a:schemeClr>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95250</xdr:colOff>
      <xdr:row>0</xdr:row>
      <xdr:rowOff>95250</xdr:rowOff>
    </xdr:from>
    <xdr:to>
      <xdr:col>16</xdr:col>
      <xdr:colOff>439511</xdr:colOff>
      <xdr:row>4</xdr:row>
      <xdr:rowOff>153204</xdr:rowOff>
    </xdr:to>
    <xdr:grpSp>
      <xdr:nvGrpSpPr>
        <xdr:cNvPr id="10" name="Gruppo 9">
          <a:extLst>
            <a:ext uri="{FF2B5EF4-FFF2-40B4-BE49-F238E27FC236}">
              <a16:creationId xmlns:a16="http://schemas.microsoft.com/office/drawing/2014/main" id="{00000000-0008-0000-1800-00000A000000}"/>
            </a:ext>
          </a:extLst>
        </xdr:cNvPr>
        <xdr:cNvGrpSpPr/>
      </xdr:nvGrpSpPr>
      <xdr:grpSpPr>
        <a:xfrm>
          <a:off x="95250" y="95250"/>
          <a:ext cx="11640911" cy="781854"/>
          <a:chOff x="133351" y="104775"/>
          <a:chExt cx="11582400" cy="765525"/>
        </a:xfrm>
      </xdr:grpSpPr>
      <xdr:sp macro="" textlink="">
        <xdr:nvSpPr>
          <xdr:cNvPr id="11" name="Rettangolo 10">
            <a:extLst>
              <a:ext uri="{FF2B5EF4-FFF2-40B4-BE49-F238E27FC236}">
                <a16:creationId xmlns:a16="http://schemas.microsoft.com/office/drawing/2014/main" id="{00000000-0008-0000-1800-00000B000000}"/>
              </a:ext>
            </a:extLst>
          </xdr:cNvPr>
          <xdr:cNvSpPr/>
        </xdr:nvSpPr>
        <xdr:spPr>
          <a:xfrm>
            <a:off x="133351" y="104775"/>
            <a:ext cx="11582400" cy="76552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pic>
        <xdr:nvPicPr>
          <xdr:cNvPr id="12" name="Immagine 11">
            <a:extLst>
              <a:ext uri="{FF2B5EF4-FFF2-40B4-BE49-F238E27FC236}">
                <a16:creationId xmlns:a16="http://schemas.microsoft.com/office/drawing/2014/main" id="{00000000-0008-0000-18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28600"/>
            <a:ext cx="1344709" cy="462961"/>
          </a:xfrm>
          <a:prstGeom prst="rect">
            <a:avLst/>
          </a:prstGeom>
        </xdr:spPr>
      </xdr:pic>
      <xdr:pic>
        <xdr:nvPicPr>
          <xdr:cNvPr id="13" name="Elemento grafico 12" descr="Elenco">
            <a:hlinkClick xmlns:r="http://schemas.openxmlformats.org/officeDocument/2006/relationships" r:id="rId2"/>
            <a:extLst>
              <a:ext uri="{FF2B5EF4-FFF2-40B4-BE49-F238E27FC236}">
                <a16:creationId xmlns:a16="http://schemas.microsoft.com/office/drawing/2014/main" id="{00000000-0008-0000-1800-00000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91851" y="209550"/>
            <a:ext cx="514350" cy="520830"/>
          </a:xfrm>
          <a:prstGeom prst="rect">
            <a:avLst/>
          </a:prstGeom>
        </xdr:spPr>
      </xdr:pic>
      <xdr:sp macro="" textlink="">
        <xdr:nvSpPr>
          <xdr:cNvPr id="14" name="CasellaDiTesto 13">
            <a:extLst>
              <a:ext uri="{FF2B5EF4-FFF2-40B4-BE49-F238E27FC236}">
                <a16:creationId xmlns:a16="http://schemas.microsoft.com/office/drawing/2014/main" id="{00000000-0008-0000-1800-00000E000000}"/>
              </a:ext>
            </a:extLst>
          </xdr:cNvPr>
          <xdr:cNvSpPr txBox="1"/>
        </xdr:nvSpPr>
        <xdr:spPr>
          <a:xfrm>
            <a:off x="4720064" y="200025"/>
            <a:ext cx="2293679" cy="607636"/>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2800" b="1" u="none">
                <a:solidFill>
                  <a:schemeClr val="tx2"/>
                </a:solidFill>
                <a:latin typeface="Arial" panose="020B0604020202020204" pitchFamily="34" charset="0"/>
                <a:cs typeface="Arial" panose="020B0604020202020204" pitchFamily="34" charset="0"/>
              </a:rPr>
              <a:t>Environment</a:t>
            </a:r>
            <a:endParaRPr lang="it-IT" sz="2800" b="0" u="none">
              <a:solidFill>
                <a:schemeClr val="tx2"/>
              </a:solidFill>
              <a:latin typeface="Arial" panose="020B0604020202020204" pitchFamily="34" charset="0"/>
              <a:cs typeface="Arial" panose="020B0604020202020204" pitchFamily="34" charset="0"/>
            </a:endParaRPr>
          </a:p>
        </xdr:txBody>
      </xdr:sp>
      <xdr:cxnSp macro="">
        <xdr:nvCxnSpPr>
          <xdr:cNvPr id="15" name="Connettore diritto 14">
            <a:extLst>
              <a:ext uri="{FF2B5EF4-FFF2-40B4-BE49-F238E27FC236}">
                <a16:creationId xmlns:a16="http://schemas.microsoft.com/office/drawing/2014/main" id="{00000000-0008-0000-1800-00000F000000}"/>
              </a:ext>
            </a:extLst>
          </xdr:cNvPr>
          <xdr:cNvCxnSpPr/>
        </xdr:nvCxnSpPr>
        <xdr:spPr>
          <a:xfrm>
            <a:off x="4776920" y="663105"/>
            <a:ext cx="2256600" cy="0"/>
          </a:xfrm>
          <a:prstGeom prst="line">
            <a:avLst/>
          </a:prstGeom>
          <a:ln w="25400">
            <a:solidFill>
              <a:schemeClr val="accent3"/>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95250</xdr:colOff>
      <xdr:row>0</xdr:row>
      <xdr:rowOff>95250</xdr:rowOff>
    </xdr:from>
    <xdr:to>
      <xdr:col>16</xdr:col>
      <xdr:colOff>506186</xdr:colOff>
      <xdr:row>4</xdr:row>
      <xdr:rowOff>115104</xdr:rowOff>
    </xdr:to>
    <xdr:grpSp>
      <xdr:nvGrpSpPr>
        <xdr:cNvPr id="2" name="Gruppo 1">
          <a:extLst>
            <a:ext uri="{FF2B5EF4-FFF2-40B4-BE49-F238E27FC236}">
              <a16:creationId xmlns:a16="http://schemas.microsoft.com/office/drawing/2014/main" id="{00000000-0008-0000-1900-000002000000}"/>
            </a:ext>
          </a:extLst>
        </xdr:cNvPr>
        <xdr:cNvGrpSpPr/>
      </xdr:nvGrpSpPr>
      <xdr:grpSpPr>
        <a:xfrm>
          <a:off x="95250" y="95250"/>
          <a:ext cx="11640911" cy="781854"/>
          <a:chOff x="133351" y="104775"/>
          <a:chExt cx="11582400" cy="765525"/>
        </a:xfrm>
      </xdr:grpSpPr>
      <xdr:sp macro="" textlink="">
        <xdr:nvSpPr>
          <xdr:cNvPr id="3" name="Rettangolo 2">
            <a:extLst>
              <a:ext uri="{FF2B5EF4-FFF2-40B4-BE49-F238E27FC236}">
                <a16:creationId xmlns:a16="http://schemas.microsoft.com/office/drawing/2014/main" id="{00000000-0008-0000-1900-000003000000}"/>
              </a:ext>
            </a:extLst>
          </xdr:cNvPr>
          <xdr:cNvSpPr/>
        </xdr:nvSpPr>
        <xdr:spPr>
          <a:xfrm>
            <a:off x="133351" y="104775"/>
            <a:ext cx="11582400" cy="76552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pic>
        <xdr:nvPicPr>
          <xdr:cNvPr id="4" name="Immagine 3">
            <a:extLst>
              <a:ext uri="{FF2B5EF4-FFF2-40B4-BE49-F238E27FC236}">
                <a16:creationId xmlns:a16="http://schemas.microsoft.com/office/drawing/2014/main" id="{00000000-0008-0000-1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28600"/>
            <a:ext cx="1344709" cy="462961"/>
          </a:xfrm>
          <a:prstGeom prst="rect">
            <a:avLst/>
          </a:prstGeom>
        </xdr:spPr>
      </xdr:pic>
      <xdr:pic>
        <xdr:nvPicPr>
          <xdr:cNvPr id="5" name="Elemento grafico 4" descr="Elenco">
            <a:hlinkClick xmlns:r="http://schemas.openxmlformats.org/officeDocument/2006/relationships" r:id="rId2"/>
            <a:extLst>
              <a:ext uri="{FF2B5EF4-FFF2-40B4-BE49-F238E27FC236}">
                <a16:creationId xmlns:a16="http://schemas.microsoft.com/office/drawing/2014/main" id="{00000000-0008-0000-19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91851" y="209550"/>
            <a:ext cx="514350" cy="520830"/>
          </a:xfrm>
          <a:prstGeom prst="rect">
            <a:avLst/>
          </a:prstGeom>
        </xdr:spPr>
      </xdr:pic>
      <xdr:sp macro="" textlink="">
        <xdr:nvSpPr>
          <xdr:cNvPr id="6" name="CasellaDiTesto 5">
            <a:extLst>
              <a:ext uri="{FF2B5EF4-FFF2-40B4-BE49-F238E27FC236}">
                <a16:creationId xmlns:a16="http://schemas.microsoft.com/office/drawing/2014/main" id="{00000000-0008-0000-1900-000006000000}"/>
              </a:ext>
            </a:extLst>
          </xdr:cNvPr>
          <xdr:cNvSpPr txBox="1"/>
        </xdr:nvSpPr>
        <xdr:spPr>
          <a:xfrm>
            <a:off x="5336077" y="200025"/>
            <a:ext cx="1184855" cy="607636"/>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2800" b="1" u="none">
                <a:solidFill>
                  <a:schemeClr val="tx2"/>
                </a:solidFill>
                <a:latin typeface="Arial" panose="020B0604020202020204" pitchFamily="34" charset="0"/>
                <a:cs typeface="Arial" panose="020B0604020202020204" pitchFamily="34" charset="0"/>
              </a:rPr>
              <a:t>Social</a:t>
            </a:r>
            <a:endParaRPr lang="it-IT" sz="2800" b="0" u="none">
              <a:solidFill>
                <a:schemeClr val="tx2"/>
              </a:solidFill>
              <a:latin typeface="Arial" panose="020B0604020202020204" pitchFamily="34" charset="0"/>
              <a:cs typeface="Arial" panose="020B0604020202020204" pitchFamily="34" charset="0"/>
            </a:endParaRPr>
          </a:p>
        </xdr:txBody>
      </xdr:sp>
      <xdr:cxnSp macro="">
        <xdr:nvCxnSpPr>
          <xdr:cNvPr id="7" name="Connettore diritto 6">
            <a:extLst>
              <a:ext uri="{FF2B5EF4-FFF2-40B4-BE49-F238E27FC236}">
                <a16:creationId xmlns:a16="http://schemas.microsoft.com/office/drawing/2014/main" id="{00000000-0008-0000-1900-000007000000}"/>
              </a:ext>
            </a:extLst>
          </xdr:cNvPr>
          <xdr:cNvCxnSpPr/>
        </xdr:nvCxnSpPr>
        <xdr:spPr>
          <a:xfrm>
            <a:off x="5392933" y="663105"/>
            <a:ext cx="1110391" cy="0"/>
          </a:xfrm>
          <a:prstGeom prst="line">
            <a:avLst/>
          </a:prstGeom>
          <a:ln w="25400">
            <a:solidFill>
              <a:schemeClr val="accent3"/>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95250</xdr:colOff>
      <xdr:row>0</xdr:row>
      <xdr:rowOff>95250</xdr:rowOff>
    </xdr:from>
    <xdr:to>
      <xdr:col>37</xdr:col>
      <xdr:colOff>600075</xdr:colOff>
      <xdr:row>4</xdr:row>
      <xdr:rowOff>136875</xdr:rowOff>
    </xdr:to>
    <xdr:grpSp>
      <xdr:nvGrpSpPr>
        <xdr:cNvPr id="8" name="Gruppo 7">
          <a:extLst>
            <a:ext uri="{FF2B5EF4-FFF2-40B4-BE49-F238E27FC236}">
              <a16:creationId xmlns:a16="http://schemas.microsoft.com/office/drawing/2014/main" id="{00000000-0008-0000-0700-000008000000}"/>
            </a:ext>
          </a:extLst>
        </xdr:cNvPr>
        <xdr:cNvGrpSpPr/>
      </xdr:nvGrpSpPr>
      <xdr:grpSpPr>
        <a:xfrm>
          <a:off x="95250" y="95250"/>
          <a:ext cx="24088725" cy="765525"/>
          <a:chOff x="133351" y="104775"/>
          <a:chExt cx="11582400" cy="765525"/>
        </a:xfrm>
      </xdr:grpSpPr>
      <xdr:sp macro="" textlink="">
        <xdr:nvSpPr>
          <xdr:cNvPr id="2" name="Rettangolo 1">
            <a:extLst>
              <a:ext uri="{FF2B5EF4-FFF2-40B4-BE49-F238E27FC236}">
                <a16:creationId xmlns:a16="http://schemas.microsoft.com/office/drawing/2014/main" id="{00000000-0008-0000-0700-000002000000}"/>
              </a:ext>
            </a:extLst>
          </xdr:cNvPr>
          <xdr:cNvSpPr/>
        </xdr:nvSpPr>
        <xdr:spPr>
          <a:xfrm>
            <a:off x="133351" y="104775"/>
            <a:ext cx="11582400" cy="76552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pic>
        <xdr:nvPicPr>
          <xdr:cNvPr id="3" name="Immagin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28601"/>
            <a:ext cx="787563" cy="462961"/>
          </a:xfrm>
          <a:prstGeom prst="rect">
            <a:avLst/>
          </a:prstGeom>
        </xdr:spPr>
      </xdr:pic>
      <xdr:pic>
        <xdr:nvPicPr>
          <xdr:cNvPr id="4" name="Elemento grafico 3" descr="Elenco">
            <a:hlinkClick xmlns:r="http://schemas.openxmlformats.org/officeDocument/2006/relationships" r:id="rId2"/>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91851" y="209550"/>
            <a:ext cx="514350" cy="520830"/>
          </a:xfrm>
          <a:prstGeom prst="rect">
            <a:avLst/>
          </a:prstGeom>
        </xdr:spPr>
      </xdr:pic>
      <xdr:sp macro="" textlink="">
        <xdr:nvSpPr>
          <xdr:cNvPr id="5" name="CasellaDiTesto 4">
            <a:extLst>
              <a:ext uri="{FF2B5EF4-FFF2-40B4-BE49-F238E27FC236}">
                <a16:creationId xmlns:a16="http://schemas.microsoft.com/office/drawing/2014/main" id="{00000000-0008-0000-0700-000005000000}"/>
              </a:ext>
            </a:extLst>
          </xdr:cNvPr>
          <xdr:cNvSpPr txBox="1"/>
        </xdr:nvSpPr>
        <xdr:spPr>
          <a:xfrm>
            <a:off x="4707220" y="200025"/>
            <a:ext cx="2434663" cy="607636"/>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2800" b="1" u="none">
                <a:solidFill>
                  <a:schemeClr val="tx2"/>
                </a:solidFill>
                <a:latin typeface="Arial" panose="020B0604020202020204" pitchFamily="34" charset="0"/>
                <a:cs typeface="Arial" panose="020B0604020202020204" pitchFamily="34" charset="0"/>
              </a:rPr>
              <a:t>Market Prices</a:t>
            </a:r>
            <a:endParaRPr lang="it-IT" sz="2800" b="0" u="none">
              <a:solidFill>
                <a:schemeClr val="tx2"/>
              </a:solidFill>
              <a:latin typeface="Arial" panose="020B0604020202020204" pitchFamily="34" charset="0"/>
              <a:cs typeface="Arial" panose="020B0604020202020204" pitchFamily="34" charset="0"/>
            </a:endParaRPr>
          </a:p>
        </xdr:txBody>
      </xdr:sp>
      <xdr:cxnSp macro="">
        <xdr:nvCxnSpPr>
          <xdr:cNvPr id="6" name="Connettore diritto 5">
            <a:extLst>
              <a:ext uri="{FF2B5EF4-FFF2-40B4-BE49-F238E27FC236}">
                <a16:creationId xmlns:a16="http://schemas.microsoft.com/office/drawing/2014/main" id="{00000000-0008-0000-0700-000006000000}"/>
              </a:ext>
            </a:extLst>
          </xdr:cNvPr>
          <xdr:cNvCxnSpPr/>
        </xdr:nvCxnSpPr>
        <xdr:spPr>
          <a:xfrm>
            <a:off x="4718278" y="663105"/>
            <a:ext cx="1190244" cy="3645"/>
          </a:xfrm>
          <a:prstGeom prst="line">
            <a:avLst/>
          </a:prstGeom>
          <a:ln w="25400">
            <a:solidFill>
              <a:schemeClr val="accent3"/>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95250</xdr:colOff>
      <xdr:row>0</xdr:row>
      <xdr:rowOff>95250</xdr:rowOff>
    </xdr:from>
    <xdr:to>
      <xdr:col>36</xdr:col>
      <xdr:colOff>561975</xdr:colOff>
      <xdr:row>4</xdr:row>
      <xdr:rowOff>136875</xdr:rowOff>
    </xdr:to>
    <xdr:grpSp>
      <xdr:nvGrpSpPr>
        <xdr:cNvPr id="8" name="Gruppo 7">
          <a:extLst>
            <a:ext uri="{FF2B5EF4-FFF2-40B4-BE49-F238E27FC236}">
              <a16:creationId xmlns:a16="http://schemas.microsoft.com/office/drawing/2014/main" id="{00000000-0008-0000-0800-000008000000}"/>
            </a:ext>
          </a:extLst>
        </xdr:cNvPr>
        <xdr:cNvGrpSpPr/>
      </xdr:nvGrpSpPr>
      <xdr:grpSpPr>
        <a:xfrm>
          <a:off x="95250" y="95250"/>
          <a:ext cx="24479250" cy="765525"/>
          <a:chOff x="133351" y="104775"/>
          <a:chExt cx="11582400" cy="765525"/>
        </a:xfrm>
      </xdr:grpSpPr>
      <xdr:sp macro="" textlink="">
        <xdr:nvSpPr>
          <xdr:cNvPr id="9" name="Rettangolo 8">
            <a:extLst>
              <a:ext uri="{FF2B5EF4-FFF2-40B4-BE49-F238E27FC236}">
                <a16:creationId xmlns:a16="http://schemas.microsoft.com/office/drawing/2014/main" id="{00000000-0008-0000-0800-000009000000}"/>
              </a:ext>
            </a:extLst>
          </xdr:cNvPr>
          <xdr:cNvSpPr/>
        </xdr:nvSpPr>
        <xdr:spPr>
          <a:xfrm>
            <a:off x="133351" y="104775"/>
            <a:ext cx="11582400" cy="76552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pic>
        <xdr:nvPicPr>
          <xdr:cNvPr id="10" name="Immagine 9">
            <a:extLst>
              <a:ext uri="{FF2B5EF4-FFF2-40B4-BE49-F238E27FC236}">
                <a16:creationId xmlns:a16="http://schemas.microsoft.com/office/drawing/2014/main" id="{00000000-0008-0000-08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28600"/>
            <a:ext cx="678381" cy="462961"/>
          </a:xfrm>
          <a:prstGeom prst="rect">
            <a:avLst/>
          </a:prstGeom>
        </xdr:spPr>
      </xdr:pic>
      <xdr:pic>
        <xdr:nvPicPr>
          <xdr:cNvPr id="11" name="Elemento grafico 10" descr="Elenco">
            <a:hlinkClick xmlns:r="http://schemas.openxmlformats.org/officeDocument/2006/relationships" r:id="rId2"/>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91851" y="209550"/>
            <a:ext cx="514350" cy="520830"/>
          </a:xfrm>
          <a:prstGeom prst="rect">
            <a:avLst/>
          </a:prstGeom>
        </xdr:spPr>
      </xdr:pic>
      <xdr:sp macro="" textlink="">
        <xdr:nvSpPr>
          <xdr:cNvPr id="12" name="CasellaDiTesto 11">
            <a:extLst>
              <a:ext uri="{FF2B5EF4-FFF2-40B4-BE49-F238E27FC236}">
                <a16:creationId xmlns:a16="http://schemas.microsoft.com/office/drawing/2014/main" id="{00000000-0008-0000-0800-00000C000000}"/>
              </a:ext>
            </a:extLst>
          </xdr:cNvPr>
          <xdr:cNvSpPr txBox="1"/>
        </xdr:nvSpPr>
        <xdr:spPr>
          <a:xfrm>
            <a:off x="5154895" y="200025"/>
            <a:ext cx="2545324" cy="607636"/>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2800" b="1" u="none">
                <a:solidFill>
                  <a:schemeClr val="tx2"/>
                </a:solidFill>
                <a:latin typeface="Arial" panose="020B0604020202020204" pitchFamily="34" charset="0"/>
                <a:cs typeface="Arial" panose="020B0604020202020204" pitchFamily="34" charset="0"/>
              </a:rPr>
              <a:t>Power and gas demand in Italy</a:t>
            </a:r>
            <a:endParaRPr lang="it-IT" sz="2800" b="0" u="none">
              <a:solidFill>
                <a:schemeClr val="tx2"/>
              </a:solidFill>
              <a:latin typeface="Arial" panose="020B0604020202020204" pitchFamily="34" charset="0"/>
              <a:cs typeface="Arial" panose="020B0604020202020204" pitchFamily="34" charset="0"/>
            </a:endParaRPr>
          </a:p>
        </xdr:txBody>
      </xdr:sp>
      <xdr:cxnSp macro="">
        <xdr:nvCxnSpPr>
          <xdr:cNvPr id="13" name="Connettore diritto 12">
            <a:extLst>
              <a:ext uri="{FF2B5EF4-FFF2-40B4-BE49-F238E27FC236}">
                <a16:creationId xmlns:a16="http://schemas.microsoft.com/office/drawing/2014/main" id="{00000000-0008-0000-0800-00000D000000}"/>
              </a:ext>
            </a:extLst>
          </xdr:cNvPr>
          <xdr:cNvCxnSpPr/>
        </xdr:nvCxnSpPr>
        <xdr:spPr>
          <a:xfrm>
            <a:off x="5198231" y="663105"/>
            <a:ext cx="2434386" cy="22695"/>
          </a:xfrm>
          <a:prstGeom prst="line">
            <a:avLst/>
          </a:prstGeom>
          <a:ln w="25400">
            <a:solidFill>
              <a:schemeClr val="accent3"/>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95250</xdr:colOff>
      <xdr:row>0</xdr:row>
      <xdr:rowOff>95250</xdr:rowOff>
    </xdr:from>
    <xdr:to>
      <xdr:col>14</xdr:col>
      <xdr:colOff>228600</xdr:colOff>
      <xdr:row>4</xdr:row>
      <xdr:rowOff>136875</xdr:rowOff>
    </xdr:to>
    <xdr:grpSp>
      <xdr:nvGrpSpPr>
        <xdr:cNvPr id="9" name="Gruppo 8">
          <a:extLst>
            <a:ext uri="{FF2B5EF4-FFF2-40B4-BE49-F238E27FC236}">
              <a16:creationId xmlns:a16="http://schemas.microsoft.com/office/drawing/2014/main" id="{00000000-0008-0000-0900-000009000000}"/>
            </a:ext>
          </a:extLst>
        </xdr:cNvPr>
        <xdr:cNvGrpSpPr/>
      </xdr:nvGrpSpPr>
      <xdr:grpSpPr>
        <a:xfrm>
          <a:off x="95250" y="95250"/>
          <a:ext cx="11582400" cy="765525"/>
          <a:chOff x="133351" y="104775"/>
          <a:chExt cx="11582400" cy="765525"/>
        </a:xfrm>
      </xdr:grpSpPr>
      <xdr:sp macro="" textlink="">
        <xdr:nvSpPr>
          <xdr:cNvPr id="17" name="Rettangolo 16">
            <a:extLst>
              <a:ext uri="{FF2B5EF4-FFF2-40B4-BE49-F238E27FC236}">
                <a16:creationId xmlns:a16="http://schemas.microsoft.com/office/drawing/2014/main" id="{00000000-0008-0000-0900-000011000000}"/>
              </a:ext>
            </a:extLst>
          </xdr:cNvPr>
          <xdr:cNvSpPr/>
        </xdr:nvSpPr>
        <xdr:spPr>
          <a:xfrm>
            <a:off x="133351" y="104775"/>
            <a:ext cx="11582400" cy="76552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pic>
        <xdr:nvPicPr>
          <xdr:cNvPr id="18" name="Immagine 17">
            <a:extLst>
              <a:ext uri="{FF2B5EF4-FFF2-40B4-BE49-F238E27FC236}">
                <a16:creationId xmlns:a16="http://schemas.microsoft.com/office/drawing/2014/main" id="{00000000-0008-0000-09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28600"/>
            <a:ext cx="1344709" cy="462961"/>
          </a:xfrm>
          <a:prstGeom prst="rect">
            <a:avLst/>
          </a:prstGeom>
        </xdr:spPr>
      </xdr:pic>
      <xdr:pic>
        <xdr:nvPicPr>
          <xdr:cNvPr id="19" name="Elemento grafico 18" descr="Elenco">
            <a:hlinkClick xmlns:r="http://schemas.openxmlformats.org/officeDocument/2006/relationships" r:id="rId2"/>
            <a:extLst>
              <a:ext uri="{FF2B5EF4-FFF2-40B4-BE49-F238E27FC236}">
                <a16:creationId xmlns:a16="http://schemas.microsoft.com/office/drawing/2014/main" id="{00000000-0008-0000-09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91851" y="209550"/>
            <a:ext cx="514350" cy="520830"/>
          </a:xfrm>
          <a:prstGeom prst="rect">
            <a:avLst/>
          </a:prstGeom>
        </xdr:spPr>
      </xdr:pic>
      <xdr:sp macro="" textlink="">
        <xdr:nvSpPr>
          <xdr:cNvPr id="20" name="CasellaDiTesto 19">
            <a:extLst>
              <a:ext uri="{FF2B5EF4-FFF2-40B4-BE49-F238E27FC236}">
                <a16:creationId xmlns:a16="http://schemas.microsoft.com/office/drawing/2014/main" id="{00000000-0008-0000-0900-000014000000}"/>
              </a:ext>
            </a:extLst>
          </xdr:cNvPr>
          <xdr:cNvSpPr txBox="1"/>
        </xdr:nvSpPr>
        <xdr:spPr>
          <a:xfrm>
            <a:off x="3602320" y="200025"/>
            <a:ext cx="4655856" cy="607636"/>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2800" b="1" u="none">
                <a:solidFill>
                  <a:schemeClr val="tx2"/>
                </a:solidFill>
                <a:latin typeface="Arial" panose="020B0604020202020204" pitchFamily="34" charset="0"/>
                <a:cs typeface="Arial" panose="020B0604020202020204" pitchFamily="34" charset="0"/>
              </a:rPr>
              <a:t>Consolidated</a:t>
            </a:r>
            <a:r>
              <a:rPr lang="it-IT" sz="2800" b="1" u="none" baseline="0">
                <a:solidFill>
                  <a:schemeClr val="tx2"/>
                </a:solidFill>
                <a:latin typeface="Arial" panose="020B0604020202020204" pitchFamily="34" charset="0"/>
                <a:cs typeface="Arial" panose="020B0604020202020204" pitchFamily="34" charset="0"/>
              </a:rPr>
              <a:t> Profit &amp; Loss</a:t>
            </a:r>
            <a:endParaRPr lang="it-IT" sz="2800" b="0" u="none">
              <a:solidFill>
                <a:schemeClr val="tx2"/>
              </a:solidFill>
              <a:latin typeface="Arial" panose="020B0604020202020204" pitchFamily="34" charset="0"/>
              <a:cs typeface="Arial" panose="020B0604020202020204" pitchFamily="34" charset="0"/>
            </a:endParaRPr>
          </a:p>
        </xdr:txBody>
      </xdr:sp>
      <xdr:cxnSp macro="">
        <xdr:nvCxnSpPr>
          <xdr:cNvPr id="21" name="Connettore diritto 20">
            <a:extLst>
              <a:ext uri="{FF2B5EF4-FFF2-40B4-BE49-F238E27FC236}">
                <a16:creationId xmlns:a16="http://schemas.microsoft.com/office/drawing/2014/main" id="{00000000-0008-0000-0900-000015000000}"/>
              </a:ext>
            </a:extLst>
          </xdr:cNvPr>
          <xdr:cNvCxnSpPr/>
        </xdr:nvCxnSpPr>
        <xdr:spPr>
          <a:xfrm>
            <a:off x="3659176" y="663105"/>
            <a:ext cx="4608000" cy="0"/>
          </a:xfrm>
          <a:prstGeom prst="line">
            <a:avLst/>
          </a:prstGeom>
          <a:ln w="25400">
            <a:solidFill>
              <a:schemeClr val="accent3"/>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95250</xdr:colOff>
      <xdr:row>0</xdr:row>
      <xdr:rowOff>95250</xdr:rowOff>
    </xdr:from>
    <xdr:to>
      <xdr:col>15</xdr:col>
      <xdr:colOff>104775</xdr:colOff>
      <xdr:row>4</xdr:row>
      <xdr:rowOff>136875</xdr:rowOff>
    </xdr:to>
    <xdr:grpSp>
      <xdr:nvGrpSpPr>
        <xdr:cNvPr id="10" name="Gruppo 9">
          <a:extLst>
            <a:ext uri="{FF2B5EF4-FFF2-40B4-BE49-F238E27FC236}">
              <a16:creationId xmlns:a16="http://schemas.microsoft.com/office/drawing/2014/main" id="{00000000-0008-0000-0A00-00000A000000}"/>
            </a:ext>
          </a:extLst>
        </xdr:cNvPr>
        <xdr:cNvGrpSpPr/>
      </xdr:nvGrpSpPr>
      <xdr:grpSpPr>
        <a:xfrm>
          <a:off x="95250" y="95250"/>
          <a:ext cx="11582400" cy="765525"/>
          <a:chOff x="133351" y="104775"/>
          <a:chExt cx="11582400" cy="765525"/>
        </a:xfrm>
      </xdr:grpSpPr>
      <xdr:sp macro="" textlink="">
        <xdr:nvSpPr>
          <xdr:cNvPr id="11" name="Rettangolo 10">
            <a:extLst>
              <a:ext uri="{FF2B5EF4-FFF2-40B4-BE49-F238E27FC236}">
                <a16:creationId xmlns:a16="http://schemas.microsoft.com/office/drawing/2014/main" id="{00000000-0008-0000-0A00-00000B000000}"/>
              </a:ext>
            </a:extLst>
          </xdr:cNvPr>
          <xdr:cNvSpPr/>
        </xdr:nvSpPr>
        <xdr:spPr>
          <a:xfrm>
            <a:off x="133351" y="104775"/>
            <a:ext cx="11582400" cy="76552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pic>
        <xdr:nvPicPr>
          <xdr:cNvPr id="12" name="Immagine 11">
            <a:extLst>
              <a:ext uri="{FF2B5EF4-FFF2-40B4-BE49-F238E27FC236}">
                <a16:creationId xmlns:a16="http://schemas.microsoft.com/office/drawing/2014/main" id="{00000000-0008-0000-0A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28600"/>
            <a:ext cx="1344709" cy="462961"/>
          </a:xfrm>
          <a:prstGeom prst="rect">
            <a:avLst/>
          </a:prstGeom>
        </xdr:spPr>
      </xdr:pic>
      <xdr:pic>
        <xdr:nvPicPr>
          <xdr:cNvPr id="13" name="Elemento grafico 12" descr="Elenco">
            <a:hlinkClick xmlns:r="http://schemas.openxmlformats.org/officeDocument/2006/relationships" r:id="rId2"/>
            <a:extLst>
              <a:ext uri="{FF2B5EF4-FFF2-40B4-BE49-F238E27FC236}">
                <a16:creationId xmlns:a16="http://schemas.microsoft.com/office/drawing/2014/main" id="{00000000-0008-0000-0A00-00000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91851" y="209550"/>
            <a:ext cx="514350" cy="520830"/>
          </a:xfrm>
          <a:prstGeom prst="rect">
            <a:avLst/>
          </a:prstGeom>
        </xdr:spPr>
      </xdr:pic>
      <xdr:sp macro="" textlink="">
        <xdr:nvSpPr>
          <xdr:cNvPr id="14" name="CasellaDiTesto 13">
            <a:extLst>
              <a:ext uri="{FF2B5EF4-FFF2-40B4-BE49-F238E27FC236}">
                <a16:creationId xmlns:a16="http://schemas.microsoft.com/office/drawing/2014/main" id="{00000000-0008-0000-0A00-00000E000000}"/>
              </a:ext>
            </a:extLst>
          </xdr:cNvPr>
          <xdr:cNvSpPr txBox="1"/>
        </xdr:nvSpPr>
        <xdr:spPr>
          <a:xfrm>
            <a:off x="3602320" y="200025"/>
            <a:ext cx="3503331" cy="607636"/>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2800" b="1" u="none">
                <a:solidFill>
                  <a:schemeClr val="tx2"/>
                </a:solidFill>
                <a:latin typeface="Arial" panose="020B0604020202020204" pitchFamily="34" charset="0"/>
                <a:cs typeface="Arial" panose="020B0604020202020204" pitchFamily="34" charset="0"/>
              </a:rPr>
              <a:t>Consolidated</a:t>
            </a:r>
            <a:r>
              <a:rPr lang="it-IT" sz="2800" b="1" u="none" baseline="0">
                <a:solidFill>
                  <a:schemeClr val="tx2"/>
                </a:solidFill>
                <a:latin typeface="Arial" panose="020B0604020202020204" pitchFamily="34" charset="0"/>
                <a:cs typeface="Arial" panose="020B0604020202020204" pitchFamily="34" charset="0"/>
              </a:rPr>
              <a:t> Costs</a:t>
            </a:r>
            <a:endParaRPr lang="it-IT" sz="2800" b="0" u="none">
              <a:solidFill>
                <a:schemeClr val="tx2"/>
              </a:solidFill>
              <a:latin typeface="Arial" panose="020B0604020202020204" pitchFamily="34" charset="0"/>
              <a:cs typeface="Arial" panose="020B0604020202020204" pitchFamily="34" charset="0"/>
            </a:endParaRPr>
          </a:p>
        </xdr:txBody>
      </xdr:sp>
      <xdr:cxnSp macro="">
        <xdr:nvCxnSpPr>
          <xdr:cNvPr id="15" name="Connettore diritto 14">
            <a:extLst>
              <a:ext uri="{FF2B5EF4-FFF2-40B4-BE49-F238E27FC236}">
                <a16:creationId xmlns:a16="http://schemas.microsoft.com/office/drawing/2014/main" id="{00000000-0008-0000-0A00-00000F000000}"/>
              </a:ext>
            </a:extLst>
          </xdr:cNvPr>
          <xdr:cNvCxnSpPr/>
        </xdr:nvCxnSpPr>
        <xdr:spPr>
          <a:xfrm>
            <a:off x="3659176" y="663105"/>
            <a:ext cx="3420000" cy="0"/>
          </a:xfrm>
          <a:prstGeom prst="line">
            <a:avLst/>
          </a:prstGeom>
          <a:ln w="25400">
            <a:solidFill>
              <a:schemeClr val="accent3"/>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93009</xdr:colOff>
      <xdr:row>0</xdr:row>
      <xdr:rowOff>97491</xdr:rowOff>
    </xdr:from>
    <xdr:to>
      <xdr:col>13</xdr:col>
      <xdr:colOff>7284</xdr:colOff>
      <xdr:row>4</xdr:row>
      <xdr:rowOff>145840</xdr:rowOff>
    </xdr:to>
    <xdr:grpSp>
      <xdr:nvGrpSpPr>
        <xdr:cNvPr id="10" name="Gruppo 9">
          <a:extLst>
            <a:ext uri="{FF2B5EF4-FFF2-40B4-BE49-F238E27FC236}">
              <a16:creationId xmlns:a16="http://schemas.microsoft.com/office/drawing/2014/main" id="{00000000-0008-0000-0B00-00000A000000}"/>
            </a:ext>
          </a:extLst>
        </xdr:cNvPr>
        <xdr:cNvGrpSpPr/>
      </xdr:nvGrpSpPr>
      <xdr:grpSpPr>
        <a:xfrm>
          <a:off x="93009" y="97491"/>
          <a:ext cx="11582400" cy="772249"/>
          <a:chOff x="133351" y="104775"/>
          <a:chExt cx="11582400" cy="765525"/>
        </a:xfrm>
      </xdr:grpSpPr>
      <xdr:sp macro="" textlink="">
        <xdr:nvSpPr>
          <xdr:cNvPr id="11" name="Rettangolo 10">
            <a:extLst>
              <a:ext uri="{FF2B5EF4-FFF2-40B4-BE49-F238E27FC236}">
                <a16:creationId xmlns:a16="http://schemas.microsoft.com/office/drawing/2014/main" id="{00000000-0008-0000-0B00-00000B000000}"/>
              </a:ext>
            </a:extLst>
          </xdr:cNvPr>
          <xdr:cNvSpPr/>
        </xdr:nvSpPr>
        <xdr:spPr>
          <a:xfrm>
            <a:off x="133351" y="104775"/>
            <a:ext cx="11582400" cy="76552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pic>
        <xdr:nvPicPr>
          <xdr:cNvPr id="12" name="Immagine 11">
            <a:extLst>
              <a:ext uri="{FF2B5EF4-FFF2-40B4-BE49-F238E27FC236}">
                <a16:creationId xmlns:a16="http://schemas.microsoft.com/office/drawing/2014/main" id="{00000000-0008-0000-0B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28600"/>
            <a:ext cx="1344709" cy="462961"/>
          </a:xfrm>
          <a:prstGeom prst="rect">
            <a:avLst/>
          </a:prstGeom>
        </xdr:spPr>
      </xdr:pic>
      <xdr:pic>
        <xdr:nvPicPr>
          <xdr:cNvPr id="13" name="Elemento grafico 12" descr="Elenco">
            <a:hlinkClick xmlns:r="http://schemas.openxmlformats.org/officeDocument/2006/relationships" r:id="rId2"/>
            <a:extLst>
              <a:ext uri="{FF2B5EF4-FFF2-40B4-BE49-F238E27FC236}">
                <a16:creationId xmlns:a16="http://schemas.microsoft.com/office/drawing/2014/main" id="{00000000-0008-0000-0B00-00000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91851" y="209550"/>
            <a:ext cx="514350" cy="520830"/>
          </a:xfrm>
          <a:prstGeom prst="rect">
            <a:avLst/>
          </a:prstGeom>
        </xdr:spPr>
      </xdr:pic>
      <xdr:sp macro="" textlink="">
        <xdr:nvSpPr>
          <xdr:cNvPr id="14" name="CasellaDiTesto 13">
            <a:extLst>
              <a:ext uri="{FF2B5EF4-FFF2-40B4-BE49-F238E27FC236}">
                <a16:creationId xmlns:a16="http://schemas.microsoft.com/office/drawing/2014/main" id="{00000000-0008-0000-0B00-00000E000000}"/>
              </a:ext>
            </a:extLst>
          </xdr:cNvPr>
          <xdr:cNvSpPr txBox="1"/>
        </xdr:nvSpPr>
        <xdr:spPr>
          <a:xfrm>
            <a:off x="3445436" y="200025"/>
            <a:ext cx="4957854" cy="607636"/>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2800" b="1" u="none">
                <a:solidFill>
                  <a:schemeClr val="tx2"/>
                </a:solidFill>
                <a:latin typeface="Arial" panose="020B0604020202020204" pitchFamily="34" charset="0"/>
                <a:cs typeface="Arial" panose="020B0604020202020204" pitchFamily="34" charset="0"/>
              </a:rPr>
              <a:t>Consolidated</a:t>
            </a:r>
            <a:r>
              <a:rPr lang="it-IT" sz="2800" b="1" u="none" baseline="0">
                <a:solidFill>
                  <a:schemeClr val="tx2"/>
                </a:solidFill>
                <a:latin typeface="Arial" panose="020B0604020202020204" pitchFamily="34" charset="0"/>
                <a:cs typeface="Arial" panose="020B0604020202020204" pitchFamily="34" charset="0"/>
              </a:rPr>
              <a:t> Balance Sheet</a:t>
            </a:r>
            <a:endParaRPr lang="it-IT" sz="2800" b="0" u="none">
              <a:solidFill>
                <a:schemeClr val="tx2"/>
              </a:solidFill>
              <a:latin typeface="Arial" panose="020B0604020202020204" pitchFamily="34" charset="0"/>
              <a:cs typeface="Arial" panose="020B0604020202020204" pitchFamily="34" charset="0"/>
            </a:endParaRPr>
          </a:p>
        </xdr:txBody>
      </xdr:sp>
      <xdr:cxnSp macro="">
        <xdr:nvCxnSpPr>
          <xdr:cNvPr id="15" name="Connettore diritto 14">
            <a:extLst>
              <a:ext uri="{FF2B5EF4-FFF2-40B4-BE49-F238E27FC236}">
                <a16:creationId xmlns:a16="http://schemas.microsoft.com/office/drawing/2014/main" id="{00000000-0008-0000-0B00-00000F000000}"/>
              </a:ext>
            </a:extLst>
          </xdr:cNvPr>
          <xdr:cNvCxnSpPr/>
        </xdr:nvCxnSpPr>
        <xdr:spPr>
          <a:xfrm>
            <a:off x="3502292" y="663105"/>
            <a:ext cx="4824000" cy="0"/>
          </a:xfrm>
          <a:prstGeom prst="line">
            <a:avLst/>
          </a:prstGeom>
          <a:ln w="25400">
            <a:solidFill>
              <a:schemeClr val="accent3"/>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95250</xdr:colOff>
      <xdr:row>0</xdr:row>
      <xdr:rowOff>95250</xdr:rowOff>
    </xdr:from>
    <xdr:to>
      <xdr:col>14</xdr:col>
      <xdr:colOff>352425</xdr:colOff>
      <xdr:row>4</xdr:row>
      <xdr:rowOff>136875</xdr:rowOff>
    </xdr:to>
    <xdr:grpSp>
      <xdr:nvGrpSpPr>
        <xdr:cNvPr id="10" name="Gruppo 9">
          <a:extLst>
            <a:ext uri="{FF2B5EF4-FFF2-40B4-BE49-F238E27FC236}">
              <a16:creationId xmlns:a16="http://schemas.microsoft.com/office/drawing/2014/main" id="{00000000-0008-0000-0C00-00000A000000}"/>
            </a:ext>
          </a:extLst>
        </xdr:cNvPr>
        <xdr:cNvGrpSpPr/>
      </xdr:nvGrpSpPr>
      <xdr:grpSpPr>
        <a:xfrm>
          <a:off x="95250" y="95250"/>
          <a:ext cx="11582400" cy="765525"/>
          <a:chOff x="133351" y="104775"/>
          <a:chExt cx="11582400" cy="765525"/>
        </a:xfrm>
      </xdr:grpSpPr>
      <xdr:sp macro="" textlink="">
        <xdr:nvSpPr>
          <xdr:cNvPr id="11" name="Rettangolo 10">
            <a:extLst>
              <a:ext uri="{FF2B5EF4-FFF2-40B4-BE49-F238E27FC236}">
                <a16:creationId xmlns:a16="http://schemas.microsoft.com/office/drawing/2014/main" id="{00000000-0008-0000-0C00-00000B000000}"/>
              </a:ext>
            </a:extLst>
          </xdr:cNvPr>
          <xdr:cNvSpPr/>
        </xdr:nvSpPr>
        <xdr:spPr>
          <a:xfrm>
            <a:off x="133351" y="104775"/>
            <a:ext cx="11582400" cy="76552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pic>
        <xdr:nvPicPr>
          <xdr:cNvPr id="12" name="Immagine 11">
            <a:extLst>
              <a:ext uri="{FF2B5EF4-FFF2-40B4-BE49-F238E27FC236}">
                <a16:creationId xmlns:a16="http://schemas.microsoft.com/office/drawing/2014/main" id="{00000000-0008-0000-0C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28600"/>
            <a:ext cx="1344709" cy="462961"/>
          </a:xfrm>
          <a:prstGeom prst="rect">
            <a:avLst/>
          </a:prstGeom>
        </xdr:spPr>
      </xdr:pic>
      <xdr:pic>
        <xdr:nvPicPr>
          <xdr:cNvPr id="13" name="Elemento grafico 12" descr="Elenco">
            <a:hlinkClick xmlns:r="http://schemas.openxmlformats.org/officeDocument/2006/relationships" r:id="rId2"/>
            <a:extLst>
              <a:ext uri="{FF2B5EF4-FFF2-40B4-BE49-F238E27FC236}">
                <a16:creationId xmlns:a16="http://schemas.microsoft.com/office/drawing/2014/main" id="{00000000-0008-0000-0C00-00000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91851" y="209550"/>
            <a:ext cx="514350" cy="520830"/>
          </a:xfrm>
          <a:prstGeom prst="rect">
            <a:avLst/>
          </a:prstGeom>
        </xdr:spPr>
      </xdr:pic>
      <xdr:sp macro="" textlink="">
        <xdr:nvSpPr>
          <xdr:cNvPr id="14" name="CasellaDiTesto 13">
            <a:extLst>
              <a:ext uri="{FF2B5EF4-FFF2-40B4-BE49-F238E27FC236}">
                <a16:creationId xmlns:a16="http://schemas.microsoft.com/office/drawing/2014/main" id="{00000000-0008-0000-0C00-00000E000000}"/>
              </a:ext>
            </a:extLst>
          </xdr:cNvPr>
          <xdr:cNvSpPr txBox="1"/>
        </xdr:nvSpPr>
        <xdr:spPr>
          <a:xfrm>
            <a:off x="3764245" y="200025"/>
            <a:ext cx="4322481" cy="607636"/>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2800" b="1" u="none">
                <a:solidFill>
                  <a:schemeClr val="tx2"/>
                </a:solidFill>
                <a:latin typeface="Arial" panose="020B0604020202020204" pitchFamily="34" charset="0"/>
                <a:cs typeface="Arial" panose="020B0604020202020204" pitchFamily="34" charset="0"/>
              </a:rPr>
              <a:t>Consolidated</a:t>
            </a:r>
            <a:r>
              <a:rPr lang="it-IT" sz="2800" b="1" u="none" baseline="0">
                <a:solidFill>
                  <a:schemeClr val="tx2"/>
                </a:solidFill>
                <a:latin typeface="Arial" panose="020B0604020202020204" pitchFamily="34" charset="0"/>
                <a:cs typeface="Arial" panose="020B0604020202020204" pitchFamily="34" charset="0"/>
              </a:rPr>
              <a:t> Cash Flow</a:t>
            </a:r>
            <a:endParaRPr lang="it-IT" sz="2800" b="0" u="none">
              <a:solidFill>
                <a:schemeClr val="tx2"/>
              </a:solidFill>
              <a:latin typeface="Arial" panose="020B0604020202020204" pitchFamily="34" charset="0"/>
              <a:cs typeface="Arial" panose="020B0604020202020204" pitchFamily="34" charset="0"/>
            </a:endParaRPr>
          </a:p>
        </xdr:txBody>
      </xdr:sp>
      <xdr:cxnSp macro="">
        <xdr:nvCxnSpPr>
          <xdr:cNvPr id="15" name="Connettore diritto 14">
            <a:extLst>
              <a:ext uri="{FF2B5EF4-FFF2-40B4-BE49-F238E27FC236}">
                <a16:creationId xmlns:a16="http://schemas.microsoft.com/office/drawing/2014/main" id="{00000000-0008-0000-0C00-00000F000000}"/>
              </a:ext>
            </a:extLst>
          </xdr:cNvPr>
          <xdr:cNvCxnSpPr/>
        </xdr:nvCxnSpPr>
        <xdr:spPr>
          <a:xfrm>
            <a:off x="3821101" y="663105"/>
            <a:ext cx="4176000" cy="0"/>
          </a:xfrm>
          <a:prstGeom prst="line">
            <a:avLst/>
          </a:prstGeom>
          <a:ln w="25400">
            <a:solidFill>
              <a:schemeClr val="accent3"/>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95250</xdr:colOff>
      <xdr:row>0</xdr:row>
      <xdr:rowOff>95250</xdr:rowOff>
    </xdr:from>
    <xdr:to>
      <xdr:col>16</xdr:col>
      <xdr:colOff>276225</xdr:colOff>
      <xdr:row>4</xdr:row>
      <xdr:rowOff>136875</xdr:rowOff>
    </xdr:to>
    <xdr:grpSp>
      <xdr:nvGrpSpPr>
        <xdr:cNvPr id="9" name="Gruppo 8">
          <a:extLst>
            <a:ext uri="{FF2B5EF4-FFF2-40B4-BE49-F238E27FC236}">
              <a16:creationId xmlns:a16="http://schemas.microsoft.com/office/drawing/2014/main" id="{00000000-0008-0000-0D00-000009000000}"/>
            </a:ext>
          </a:extLst>
        </xdr:cNvPr>
        <xdr:cNvGrpSpPr/>
      </xdr:nvGrpSpPr>
      <xdr:grpSpPr>
        <a:xfrm>
          <a:off x="95250" y="95250"/>
          <a:ext cx="11582400" cy="765525"/>
          <a:chOff x="133351" y="104775"/>
          <a:chExt cx="11582400" cy="765525"/>
        </a:xfrm>
      </xdr:grpSpPr>
      <xdr:sp macro="" textlink="">
        <xdr:nvSpPr>
          <xdr:cNvPr id="17" name="Rettangolo 16">
            <a:extLst>
              <a:ext uri="{FF2B5EF4-FFF2-40B4-BE49-F238E27FC236}">
                <a16:creationId xmlns:a16="http://schemas.microsoft.com/office/drawing/2014/main" id="{00000000-0008-0000-0D00-000011000000}"/>
              </a:ext>
            </a:extLst>
          </xdr:cNvPr>
          <xdr:cNvSpPr/>
        </xdr:nvSpPr>
        <xdr:spPr>
          <a:xfrm>
            <a:off x="133351" y="104775"/>
            <a:ext cx="11582400" cy="76552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pic>
        <xdr:nvPicPr>
          <xdr:cNvPr id="18" name="Immagine 17">
            <a:extLst>
              <a:ext uri="{FF2B5EF4-FFF2-40B4-BE49-F238E27FC236}">
                <a16:creationId xmlns:a16="http://schemas.microsoft.com/office/drawing/2014/main" id="{00000000-0008-0000-0D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28600"/>
            <a:ext cx="1344709" cy="462961"/>
          </a:xfrm>
          <a:prstGeom prst="rect">
            <a:avLst/>
          </a:prstGeom>
        </xdr:spPr>
      </xdr:pic>
      <xdr:pic>
        <xdr:nvPicPr>
          <xdr:cNvPr id="19" name="Elemento grafico 18" descr="Elenco">
            <a:hlinkClick xmlns:r="http://schemas.openxmlformats.org/officeDocument/2006/relationships" r:id="rId2"/>
            <a:extLst>
              <a:ext uri="{FF2B5EF4-FFF2-40B4-BE49-F238E27FC236}">
                <a16:creationId xmlns:a16="http://schemas.microsoft.com/office/drawing/2014/main" id="{00000000-0008-0000-0D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91851" y="209550"/>
            <a:ext cx="514350" cy="520830"/>
          </a:xfrm>
          <a:prstGeom prst="rect">
            <a:avLst/>
          </a:prstGeom>
        </xdr:spPr>
      </xdr:pic>
      <xdr:sp macro="" textlink="">
        <xdr:nvSpPr>
          <xdr:cNvPr id="20" name="CasellaDiTesto 19">
            <a:extLst>
              <a:ext uri="{FF2B5EF4-FFF2-40B4-BE49-F238E27FC236}">
                <a16:creationId xmlns:a16="http://schemas.microsoft.com/office/drawing/2014/main" id="{00000000-0008-0000-0D00-000014000000}"/>
              </a:ext>
            </a:extLst>
          </xdr:cNvPr>
          <xdr:cNvSpPr txBox="1"/>
        </xdr:nvSpPr>
        <xdr:spPr>
          <a:xfrm>
            <a:off x="3059395" y="200025"/>
            <a:ext cx="5741706" cy="607636"/>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2800" b="1" u="none">
                <a:solidFill>
                  <a:schemeClr val="tx2"/>
                </a:solidFill>
                <a:latin typeface="Arial" panose="020B0604020202020204" pitchFamily="34" charset="0"/>
                <a:cs typeface="Arial" panose="020B0604020202020204" pitchFamily="34" charset="0"/>
              </a:rPr>
              <a:t>Consolidated</a:t>
            </a:r>
            <a:r>
              <a:rPr lang="it-IT" sz="2800" b="1" u="none" baseline="0">
                <a:solidFill>
                  <a:schemeClr val="tx2"/>
                </a:solidFill>
                <a:latin typeface="Arial" panose="020B0604020202020204" pitchFamily="34" charset="0"/>
                <a:cs typeface="Arial" panose="020B0604020202020204" pitchFamily="34" charset="0"/>
              </a:rPr>
              <a:t> Results by Division</a:t>
            </a:r>
            <a:endParaRPr lang="it-IT" sz="2800" b="0" u="none">
              <a:solidFill>
                <a:schemeClr val="tx2"/>
              </a:solidFill>
              <a:latin typeface="Arial" panose="020B0604020202020204" pitchFamily="34" charset="0"/>
              <a:cs typeface="Arial" panose="020B0604020202020204" pitchFamily="34" charset="0"/>
            </a:endParaRPr>
          </a:p>
        </xdr:txBody>
      </xdr:sp>
      <xdr:cxnSp macro="">
        <xdr:nvCxnSpPr>
          <xdr:cNvPr id="21" name="Connettore diritto 20">
            <a:extLst>
              <a:ext uri="{FF2B5EF4-FFF2-40B4-BE49-F238E27FC236}">
                <a16:creationId xmlns:a16="http://schemas.microsoft.com/office/drawing/2014/main" id="{00000000-0008-0000-0D00-000015000000}"/>
              </a:ext>
            </a:extLst>
          </xdr:cNvPr>
          <xdr:cNvCxnSpPr/>
        </xdr:nvCxnSpPr>
        <xdr:spPr>
          <a:xfrm>
            <a:off x="3116251" y="663105"/>
            <a:ext cx="5688000" cy="0"/>
          </a:xfrm>
          <a:prstGeom prst="line">
            <a:avLst/>
          </a:prstGeom>
          <a:ln w="25400">
            <a:solidFill>
              <a:schemeClr val="accent3"/>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chez Ben Alejandro" refreshedDate="43560.653835532408" createdVersion="6" refreshedVersion="6" minRefreshableVersion="3" recordCount="174" xr:uid="{CDD4F4C1-71AB-4974-B189-2CAA55E3727E}">
  <cacheSource type="worksheet">
    <worksheetSource name="TabellaPlants"/>
  </cacheSource>
  <cacheFields count="7">
    <cacheField name="Code" numFmtId="0">
      <sharedItems containsSemiMixedTypes="0" containsString="0" containsNumber="1" containsInteger="1" minValue="1" maxValue="174"/>
    </cacheField>
    <cacheField name="Plant name" numFmtId="0">
      <sharedItems/>
    </cacheField>
    <cacheField name="Region" numFmtId="0">
      <sharedItems count="17">
        <s v="Lombardia"/>
        <s v="Piemonte"/>
        <s v="Emilia Romagna"/>
        <s v="Toscana"/>
        <s v="Abruzzo"/>
        <s v="Veneto"/>
        <s v="Umbria"/>
        <s v="Puglia"/>
        <s v="Calabria"/>
        <s v="Friuli Venezia Giulia"/>
        <s v="Trentino Alto Adige"/>
        <s v="Valle d'Aosta"/>
        <s v="Campania"/>
        <s v="Molise"/>
        <s v="Sicilia"/>
        <s v="Basilicata"/>
        <s v="Lazio"/>
      </sharedItems>
    </cacheField>
    <cacheField name="Company" numFmtId="0">
      <sharedItems/>
    </cacheField>
    <cacheField name="Technology" numFmtId="0">
      <sharedItems count="9">
        <s v="CCGT"/>
        <s v="Hydro"/>
        <s v="Wind"/>
        <s v="Solar"/>
        <s v="Biomass"/>
        <s v="CHP"/>
        <s v="Thermal"/>
        <s v="All Technologies" f="1"/>
        <s v="High efficiency Thermal Power Plants" u="1"/>
      </sharedItems>
    </cacheField>
    <cacheField name="Category" numFmtId="0">
      <sharedItems count="2">
        <s v="Regular Generation"/>
        <s v="Energy Efficiency"/>
      </sharedItems>
    </cacheField>
    <cacheField name="Capacity" numFmtId="0">
      <sharedItems containsSemiMixedTypes="0" containsString="0" containsNumber="1" minValue="0" maxValue="818.27539999999999"/>
    </cacheField>
  </cacheFields>
  <calculatedItems count="1">
    <calculatedItem formula="Technology[Biomass]+Technology[CCGT]+Technology[CHP]+Technology['High efficiency Thermal Power Plants']+Technology[Hydro]+Technology[Solar]+Technology[Wind]">
      <pivotArea cacheIndex="1" outline="0" fieldPosition="0">
        <references count="1">
          <reference field="4" count="1">
            <x v="7"/>
          </reference>
        </references>
      </pivotArea>
    </calculatedItem>
  </calculatedItems>
  <extLst>
    <ext xmlns:x14="http://schemas.microsoft.com/office/spreadsheetml/2009/9/main" uri="{725AE2AE-9491-48be-B2B4-4EB974FC3084}">
      <x14:pivotCacheDefinition pivotCacheId="270834535"/>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chez Ben Alejandro" refreshedDate="43566.465207638888" createdVersion="6" refreshedVersion="6" minRefreshableVersion="3" recordCount="36" xr:uid="{A4C17A40-1709-438C-95E3-70EC536F1CE6}">
  <cacheSource type="worksheet">
    <worksheetSource name="TabellaEmissions"/>
  </cacheSource>
  <cacheFields count="4">
    <cacheField name="Year" numFmtId="0">
      <sharedItems containsSemiMixedTypes="0" containsString="0" containsNumber="1" containsInteger="1" minValue="2015" maxValue="2018" count="4">
        <n v="2015"/>
        <n v="2016"/>
        <n v="2017"/>
        <n v="2018"/>
      </sharedItems>
    </cacheField>
    <cacheField name="Value" numFmtId="0">
      <sharedItems containsSemiMixedTypes="0" containsString="0" containsNumber="1" minValue="7" maxValue="7767959"/>
    </cacheField>
    <cacheField name="Subcategory" numFmtId="0">
      <sharedItems count="11">
        <s v="Energy Generation"/>
        <s v="Others"/>
        <s v="NOX"/>
        <s v="SOX"/>
        <s v="Particulates"/>
        <s v="CO"/>
        <s v="Thermoelec. &amp;Thermal"/>
        <s v="Electricity &amp; Thermal"/>
        <s v="Electricity"/>
        <s v="CO2 Emissions" u="1"/>
        <s v="Air Emissions" u="1"/>
      </sharedItems>
    </cacheField>
    <cacheField name="Category" numFmtId="0">
      <sharedItems count="3">
        <s v="CO2 Emissions"/>
        <s v="Air Emissions"/>
        <s v="Carbon Intensity"/>
      </sharedItems>
    </cacheField>
  </cacheFields>
  <extLst>
    <ext xmlns:x14="http://schemas.microsoft.com/office/spreadsheetml/2009/9/main" uri="{725AE2AE-9491-48be-B2B4-4EB974FC3084}">
      <x14:pivotCacheDefinition pivotCacheId="313102133"/>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chez Ben Alejandro" refreshedDate="43566.522550462963" createdVersion="6" refreshedVersion="6" minRefreshableVersion="3" recordCount="48" xr:uid="{535ADC67-87B2-4FD7-9D6E-97F9EAEB9583}">
  <cacheSource type="worksheet">
    <worksheetSource name="TabellaCustomers"/>
  </cacheSource>
  <cacheFields count="5">
    <cacheField name="Year" numFmtId="0">
      <sharedItems containsSemiMixedTypes="0" containsString="0" containsNumber="1" containsInteger="1" minValue="2015" maxValue="2018" count="4">
        <n v="2015"/>
        <n v="2016"/>
        <n v="2017"/>
        <n v="2018"/>
      </sharedItems>
    </cacheField>
    <cacheField name="Value" numFmtId="0">
      <sharedItems containsSemiMixedTypes="0" containsString="0" containsNumber="1" containsInteger="1" minValue="0" maxValue="770761"/>
    </cacheField>
    <cacheField name="Category" numFmtId="0">
      <sharedItems count="2">
        <s v="Power"/>
        <s v="Gas"/>
      </sharedItems>
    </cacheField>
    <cacheField name="Subcategory" numFmtId="0">
      <sharedItems count="6">
        <s v="Residential"/>
        <s v="Business"/>
        <s v="Small Business"/>
        <s v="Edison Energia"/>
        <s v="AMG Gas "/>
        <s v="Attiva"/>
      </sharedItems>
    </cacheField>
    <cacheField name="Measure unit" numFmtId="0">
      <sharedItems count="2">
        <s v="No."/>
        <s v="GWh"/>
      </sharedItems>
    </cacheField>
  </cacheFields>
  <extLst>
    <ext xmlns:x14="http://schemas.microsoft.com/office/spreadsheetml/2009/9/main" uri="{725AE2AE-9491-48be-B2B4-4EB974FC3084}">
      <x14:pivotCacheDefinition pivotCacheId="1962336548"/>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chez Ben Alejandro" refreshedDate="43595.656091087963" createdVersion="6" refreshedVersion="6" minRefreshableVersion="3" recordCount="24" xr:uid="{F5F66C2B-09DE-487E-B9B0-D742E735A80B}">
  <cacheSource type="worksheet">
    <worksheetSource name="TabellaPower"/>
  </cacheSource>
  <cacheFields count="5">
    <cacheField name="Year" numFmtId="0">
      <sharedItems containsSemiMixedTypes="0" containsString="0" containsNumber="1" containsInteger="1" minValue="2015" maxValue="2018" count="4">
        <n v="2015"/>
        <n v="2016"/>
        <n v="2017"/>
        <n v="2018"/>
      </sharedItems>
    </cacheField>
    <cacheField name="GWh" numFmtId="0">
      <sharedItems containsSemiMixedTypes="0" containsString="0" containsNumber="1" containsInteger="1" minValue="955" maxValue="79612"/>
    </cacheField>
    <cacheField name="Category" numFmtId="0">
      <sharedItems count="2">
        <s v="Sources"/>
        <s v="Uses"/>
      </sharedItems>
    </cacheField>
    <cacheField name="Subcategory" numFmtId="0">
      <sharedItems count="6">
        <s v="Thermoelectric "/>
        <s v="Hydroelectric "/>
        <s v="RES"/>
        <s v="Other Purchases"/>
        <s v="End Customers"/>
        <s v="Other Sales"/>
      </sharedItems>
    </cacheField>
    <cacheField name="Division" numFmtId="0">
      <sharedItems/>
    </cacheField>
  </cacheFields>
  <extLst>
    <ext xmlns:x14="http://schemas.microsoft.com/office/spreadsheetml/2009/9/main" uri="{725AE2AE-9491-48be-B2B4-4EB974FC3084}">
      <x14:pivotCacheDefinition pivotCacheId="772372635"/>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chez Ben Alejandro" refreshedDate="43595.656781597223" createdVersion="6" refreshedVersion="6" minRefreshableVersion="3" recordCount="40" xr:uid="{5FA07371-9446-4F92-88E8-7440B7131426}">
  <cacheSource type="worksheet">
    <worksheetSource name="TabellaGas"/>
  </cacheSource>
  <cacheFields count="5">
    <cacheField name="Year" numFmtId="0">
      <sharedItems containsSemiMixedTypes="0" containsString="0" containsNumber="1" containsInteger="1" minValue="2015" maxValue="2018" count="4">
        <n v="2015"/>
        <n v="2016"/>
        <n v="2017"/>
        <n v="2018"/>
      </sharedItems>
    </cacheField>
    <cacheField name="mln cm" numFmtId="0">
      <sharedItems containsSemiMixedTypes="0" containsString="0" containsNumber="1" containsInteger="1" minValue="-94" maxValue="15102"/>
    </cacheField>
    <cacheField name="Category" numFmtId="0">
      <sharedItems count="2">
        <s v="Sources"/>
        <s v="Uses"/>
      </sharedItems>
    </cacheField>
    <cacheField name="Subcategory" numFmtId="0">
      <sharedItems count="10">
        <s v="Production (Italy)"/>
        <s v="Import"/>
        <s v="Other Purchases"/>
        <s v="Change in Storage"/>
        <s v="Production (Abroad)"/>
        <s v="Residential"/>
        <s v="Industrial"/>
        <s v="Thermoelectric"/>
        <s v="Other Sales"/>
        <s v="Sales (Abroad)"/>
      </sharedItems>
    </cacheField>
    <cacheField name="Division" numFmtId="0">
      <sharedItems/>
    </cacheField>
  </cacheFields>
  <extLst>
    <ext xmlns:x14="http://schemas.microsoft.com/office/spreadsheetml/2009/9/main" uri="{725AE2AE-9491-48be-B2B4-4EB974FC3084}">
      <x14:pivotCacheDefinition pivotCacheId="426436150"/>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chez Ben Alejandro" refreshedDate="43600.75557789352" createdVersion="6" refreshedVersion="6" minRefreshableVersion="3" recordCount="52" xr:uid="{85052FF0-1EAC-47BD-B14A-E710F4114B81}">
  <cacheSource type="worksheet">
    <worksheetSource name="TabellaFS"/>
  </cacheSource>
  <cacheFields count="4">
    <cacheField name="Year" numFmtId="0">
      <sharedItems containsSemiMixedTypes="0" containsString="0" containsNumber="1" containsInteger="1" minValue="2015" maxValue="2018" count="4">
        <n v="2015"/>
        <n v="2016"/>
        <n v="2017"/>
        <n v="2018"/>
      </sharedItems>
    </cacheField>
    <cacheField name="Value" numFmtId="0">
      <sharedItems containsString="0" containsBlank="1" containsNumber="1" minValue="-980" maxValue="12117"/>
    </cacheField>
    <cacheField name="Category" numFmtId="0">
      <sharedItems count="4">
        <s v="Ratio"/>
        <s v="P&amp;L"/>
        <s v="BS"/>
        <s v="CF" u="1"/>
      </sharedItems>
    </cacheField>
    <cacheField name="Subcategory" numFmtId="0">
      <sharedItems count="18">
        <s v="Debt/Equity"/>
        <s v="EBIT"/>
        <s v="EBITDA"/>
        <s v="Fixed assets and provisions"/>
        <s v="Net Revenues"/>
        <s v="Net Working Capital"/>
        <s v="NFD"/>
        <s v="NFD/EBITDA"/>
        <s v="NFD/NIC"/>
        <s v="Profit (Group Interest)"/>
        <s v="Profit Before Taxes"/>
        <s v="Shareholder's Equity"/>
        <s v="Total NIC"/>
        <s v="NFD end period" u="1"/>
        <s v="NFD  beginning period" u="1"/>
        <s v="Total Net Invested Capital" u="1"/>
        <s v="CF from operating activities" u="1"/>
        <s v="CF after net inv. And change in WC" u="1"/>
      </sharedItems>
    </cacheField>
  </cacheFields>
  <extLst>
    <ext xmlns:x14="http://schemas.microsoft.com/office/spreadsheetml/2009/9/main" uri="{725AE2AE-9491-48be-B2B4-4EB974FC3084}">
      <x14:pivotCacheDefinition pivotCacheId="2021975807"/>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nazzi Valeria" refreshedDate="43643.486646296296" createdVersion="6" refreshedVersion="6" minRefreshableVersion="3" recordCount="72" xr:uid="{D2ECCD4A-5876-4D9A-9CDE-E93E4FEE954C}">
  <cacheSource type="worksheet">
    <worksheetSource name="TabellaDivisions"/>
  </cacheSource>
  <cacheFields count="4">
    <cacheField name="Year" numFmtId="0">
      <sharedItems containsSemiMixedTypes="0" containsString="0" containsNumber="1" containsInteger="1" minValue="2015" maxValue="2018" count="4">
        <n v="2015"/>
        <n v="2016"/>
        <n v="2017"/>
        <n v="2018"/>
      </sharedItems>
    </cacheField>
    <cacheField name="Amount" numFmtId="0">
      <sharedItems containsSemiMixedTypes="0" containsString="0" containsNumber="1" containsInteger="1" minValue="-977" maxValue="6861"/>
    </cacheField>
    <cacheField name="Division" numFmtId="0">
      <sharedItems count="3">
        <s v="Power"/>
        <s v="Hydrocarbons"/>
        <s v="Corporate"/>
      </sharedItems>
    </cacheField>
    <cacheField name="Category" numFmtId="0">
      <sharedItems count="7">
        <s v="Sales"/>
        <s v="EBITDA (ad*)"/>
        <s v="Dep &amp; Amort"/>
        <s v="EBIT"/>
        <s v="Assets"/>
        <s v="Cap. Investments"/>
        <s v="EBITDA (ad)" u="1"/>
      </sharedItems>
    </cacheField>
  </cacheFields>
  <extLst>
    <ext xmlns:x14="http://schemas.microsoft.com/office/spreadsheetml/2009/9/main" uri="{725AE2AE-9491-48be-B2B4-4EB974FC3084}">
      <x14:pivotCacheDefinition pivotCacheId="110699696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4">
  <r>
    <n v="1"/>
    <s v="Cologno Monzese"/>
    <x v="0"/>
    <s v="Termica Cologno Srl"/>
    <x v="0"/>
    <x v="0"/>
    <n v="49.92"/>
  </r>
  <r>
    <n v="2"/>
    <s v="Jesi"/>
    <x v="1"/>
    <s v="Jesi Energia Spa"/>
    <x v="0"/>
    <x v="0"/>
    <n v="145.04"/>
  </r>
  <r>
    <n v="3"/>
    <s v="San Quirico"/>
    <x v="2"/>
    <s v="Edison Spa"/>
    <x v="0"/>
    <x v="0"/>
    <n v="132.47900000000001"/>
  </r>
  <r>
    <n v="4"/>
    <s v="Porto Viro"/>
    <x v="3"/>
    <s v="Edison Spa"/>
    <x v="0"/>
    <x v="0"/>
    <n v="136.77000000000001"/>
  </r>
  <r>
    <n v="5"/>
    <s v="Bussi sul Tirino"/>
    <x v="4"/>
    <s v="Edison Spa"/>
    <x v="0"/>
    <x v="0"/>
    <n v="118.096"/>
  </r>
  <r>
    <n v="6"/>
    <s v="Sesto San Giovanni 1"/>
    <x v="0"/>
    <s v="Edison Spa"/>
    <x v="0"/>
    <x v="0"/>
    <n v="51.002400000000002"/>
  </r>
  <r>
    <n v="7"/>
    <s v="Marghera Azotati"/>
    <x v="5"/>
    <s v="Edison Spa"/>
    <x v="0"/>
    <x v="0"/>
    <n v="229.68"/>
  </r>
  <r>
    <n v="8"/>
    <s v="Marghera Levante "/>
    <x v="5"/>
    <s v="Edison Spa"/>
    <x v="0"/>
    <x v="0"/>
    <n v="719.31200000000001"/>
  </r>
  <r>
    <n v="9"/>
    <s v="Terni"/>
    <x v="6"/>
    <s v="Edison Spa"/>
    <x v="0"/>
    <x v="0"/>
    <n v="97.028000000000006"/>
  </r>
  <r>
    <n v="10"/>
    <s v="Sesto San Giovanni 2"/>
    <x v="0"/>
    <s v="Edison Spa"/>
    <x v="0"/>
    <x v="0"/>
    <n v="52.891500000000001"/>
  </r>
  <r>
    <n v="11"/>
    <s v="Candela"/>
    <x v="7"/>
    <s v="Edison Spa"/>
    <x v="0"/>
    <x v="0"/>
    <n v="369.08784000000003"/>
  </r>
  <r>
    <n v="12"/>
    <s v="Altomonte"/>
    <x v="8"/>
    <s v="Edison Spa"/>
    <x v="0"/>
    <x v="0"/>
    <n v="764.596"/>
  </r>
  <r>
    <n v="13"/>
    <s v="Torviscosa"/>
    <x v="9"/>
    <s v="Edison Spa"/>
    <x v="0"/>
    <x v="0"/>
    <n v="766.90886999999998"/>
  </r>
  <r>
    <n v="14"/>
    <s v="Simeri Crichi"/>
    <x v="8"/>
    <s v="Edison Spa"/>
    <x v="0"/>
    <x v="0"/>
    <n v="818.27539999999999"/>
  </r>
  <r>
    <n v="15"/>
    <s v="S. Giustina"/>
    <x v="10"/>
    <s v="Dolomiti Edison Energy Srl"/>
    <x v="1"/>
    <x v="0"/>
    <n v="3.67"/>
  </r>
  <r>
    <n v="16"/>
    <s v="Taio"/>
    <x v="10"/>
    <s v="Dolomiti Edison Energy Srl"/>
    <x v="1"/>
    <x v="0"/>
    <n v="93.95"/>
  </r>
  <r>
    <n v="17"/>
    <s v="Mollaro"/>
    <x v="10"/>
    <s v="Dolomiti Edison Energy Srl"/>
    <x v="1"/>
    <x v="0"/>
    <n v="0.53"/>
  </r>
  <r>
    <n v="18"/>
    <s v="Mezzocorona"/>
    <x v="10"/>
    <s v="Dolomiti Edison Energy Srl"/>
    <x v="1"/>
    <x v="0"/>
    <n v="53.2"/>
  </r>
  <r>
    <n v="19"/>
    <s v="Pozzolago - Lona Lases"/>
    <x v="10"/>
    <s v="Dolomiti Edison Energy Srl"/>
    <x v="1"/>
    <x v="0"/>
    <n v="7.58"/>
  </r>
  <r>
    <n v="20"/>
    <s v="Sonico"/>
    <x v="0"/>
    <s v="Edison Spa"/>
    <x v="1"/>
    <x v="0"/>
    <n v="51.48"/>
  </r>
  <r>
    <n v="21"/>
    <s v="Cedegolo"/>
    <x v="0"/>
    <s v="Edison Spa"/>
    <x v="1"/>
    <x v="0"/>
    <n v="60.78"/>
  </r>
  <r>
    <n v="22"/>
    <s v="Cividate"/>
    <x v="0"/>
    <s v="Edison Spa"/>
    <x v="1"/>
    <x v="0"/>
    <n v="37.619999999999997"/>
  </r>
  <r>
    <n v="23"/>
    <s v="Ganda"/>
    <x v="0"/>
    <s v="Edison Spa"/>
    <x v="1"/>
    <x v="0"/>
    <n v="54.78"/>
  </r>
  <r>
    <n v="24"/>
    <s v="Belviso"/>
    <x v="0"/>
    <s v="Edison Spa"/>
    <x v="1"/>
    <x v="0"/>
    <n v="58.26"/>
  </r>
  <r>
    <n v="25"/>
    <s v="Publino"/>
    <x v="0"/>
    <s v="Edison Spa"/>
    <x v="1"/>
    <x v="0"/>
    <n v="2.02"/>
  </r>
  <r>
    <n v="26"/>
    <s v="Zappello"/>
    <x v="0"/>
    <s v="Edison Spa"/>
    <x v="1"/>
    <x v="0"/>
    <n v="10.79"/>
  </r>
  <r>
    <n v="27"/>
    <s v="Vedello"/>
    <x v="0"/>
    <s v="Edison Spa"/>
    <x v="1"/>
    <x v="0"/>
    <n v="32.35"/>
  </r>
  <r>
    <n v="28"/>
    <s v="Armisa"/>
    <x v="0"/>
    <s v="Edison Spa"/>
    <x v="1"/>
    <x v="0"/>
    <n v="8.4700000000000006"/>
  </r>
  <r>
    <n v="29"/>
    <s v="Venina"/>
    <x v="0"/>
    <s v="Edison Spa"/>
    <x v="1"/>
    <x v="0"/>
    <n v="147"/>
  </r>
  <r>
    <n v="30"/>
    <s v="Campo"/>
    <x v="0"/>
    <s v="Edison Spa"/>
    <x v="1"/>
    <x v="0"/>
    <n v="39.11"/>
  </r>
  <r>
    <n v="31"/>
    <s v="Albano"/>
    <x v="0"/>
    <s v="Edison Spa"/>
    <x v="1"/>
    <x v="0"/>
    <n v="13.32"/>
  </r>
  <r>
    <n v="32"/>
    <s v="Calusco - Semenza"/>
    <x v="0"/>
    <s v="Edison Spa"/>
    <x v="1"/>
    <x v="0"/>
    <n v="4.99"/>
  </r>
  <r>
    <n v="33"/>
    <s v="Paderno - Bertini"/>
    <x v="0"/>
    <s v="Edison Spa"/>
    <x v="1"/>
    <x v="0"/>
    <n v="11.72"/>
  </r>
  <r>
    <n v="34"/>
    <s v="Robbiate - Esterle"/>
    <x v="0"/>
    <s v="Edison Spa"/>
    <x v="1"/>
    <x v="0"/>
    <n v="22.81"/>
  </r>
  <r>
    <n v="35"/>
    <s v="Battiggio"/>
    <x v="1"/>
    <s v="Edison Spa"/>
    <x v="1"/>
    <x v="0"/>
    <n v="20.81"/>
  </r>
  <r>
    <n v="36"/>
    <s v="Pieve Vergonte"/>
    <x v="1"/>
    <s v="Edison Spa"/>
    <x v="1"/>
    <x v="0"/>
    <n v="2.21"/>
  </r>
  <r>
    <n v="37"/>
    <s v="Piozzo - Farigliano"/>
    <x v="1"/>
    <s v="Edison Spa"/>
    <x v="1"/>
    <x v="0"/>
    <n v="5.27"/>
  </r>
  <r>
    <n v="38"/>
    <s v="Rocchetta"/>
    <x v="3"/>
    <s v="Edison Spa"/>
    <x v="1"/>
    <x v="0"/>
    <n v="1.76"/>
  </r>
  <r>
    <n v="39"/>
    <s v="Teglia"/>
    <x v="3"/>
    <s v="Edison Spa"/>
    <x v="1"/>
    <x v="0"/>
    <n v="26.11"/>
  </r>
  <r>
    <n v="40"/>
    <s v="Pentima"/>
    <x v="6"/>
    <s v="Edison Spa"/>
    <x v="1"/>
    <x v="0"/>
    <n v="4.91"/>
  </r>
  <r>
    <n v="41"/>
    <s v="Gaver"/>
    <x v="0"/>
    <s v="Edison Spa"/>
    <x v="1"/>
    <x v="0"/>
    <n v="3"/>
  </r>
  <r>
    <n v="42"/>
    <s v="Fontanamora"/>
    <x v="0"/>
    <s v="Edison Spa"/>
    <x v="1"/>
    <x v="0"/>
    <n v="2.4900000000000002"/>
  </r>
  <r>
    <n v="43"/>
    <s v="Caffaro 1"/>
    <x v="0"/>
    <s v="Edison Spa"/>
    <x v="1"/>
    <x v="0"/>
    <n v="7.9"/>
  </r>
  <r>
    <n v="44"/>
    <s v="Caffaro 2"/>
    <x v="0"/>
    <s v="Edison Spa"/>
    <x v="1"/>
    <x v="0"/>
    <n v="34.56"/>
  </r>
  <r>
    <n v="45"/>
    <s v="Valina"/>
    <x v="9"/>
    <s v="Edison Spa"/>
    <x v="1"/>
    <x v="0"/>
    <n v="7.46"/>
  </r>
  <r>
    <n v="46"/>
    <s v="Chievolis"/>
    <x v="9"/>
    <s v="Edison Spa"/>
    <x v="1"/>
    <x v="0"/>
    <n v="16.649999999999999"/>
  </r>
  <r>
    <n v="47"/>
    <s v="Meduno"/>
    <x v="9"/>
    <s v="Edison Spa"/>
    <x v="1"/>
    <x v="0"/>
    <n v="8.6999999999999993"/>
  </r>
  <r>
    <n v="48"/>
    <s v="Colle"/>
    <x v="9"/>
    <s v="Edison Spa"/>
    <x v="1"/>
    <x v="0"/>
    <n v="3.57"/>
  </r>
  <r>
    <n v="49"/>
    <s v="Istrago"/>
    <x v="9"/>
    <s v="Edison Spa"/>
    <x v="1"/>
    <x v="0"/>
    <n v="7.52"/>
  </r>
  <r>
    <n v="50"/>
    <s v="Maleo"/>
    <x v="0"/>
    <s v="Edison Spa"/>
    <x v="1"/>
    <x v="0"/>
    <n v="3.59"/>
  </r>
  <r>
    <n v="51"/>
    <s v="Cogno"/>
    <x v="0"/>
    <s v="Sistemi di Energia Spa"/>
    <x v="1"/>
    <x v="0"/>
    <n v="5.08"/>
  </r>
  <r>
    <n v="52"/>
    <s v="La Rocca"/>
    <x v="0"/>
    <s v="Sistemi di Energia Spa"/>
    <x v="1"/>
    <x v="0"/>
    <n v="4.01"/>
  </r>
  <r>
    <n v="53"/>
    <s v="Piancone"/>
    <x v="1"/>
    <s v="Sistemi di Energia Spa"/>
    <x v="1"/>
    <x v="0"/>
    <n v="8.67"/>
  </r>
  <r>
    <n v="54"/>
    <s v="Alto Preit"/>
    <x v="1"/>
    <s v="Edison Spa"/>
    <x v="1"/>
    <x v="0"/>
    <n v="2.645179341724512"/>
  </r>
  <r>
    <n v="55"/>
    <s v="Boschetto"/>
    <x v="1"/>
    <s v="Edison Spa"/>
    <x v="1"/>
    <x v="0"/>
    <n v="2.9043184709883332"/>
  </r>
  <r>
    <n v="56"/>
    <s v="Cresti**"/>
    <x v="1"/>
    <s v="Edison Spa"/>
    <x v="1"/>
    <x v="0"/>
    <n v="0.34458015757488691"/>
  </r>
  <r>
    <n v="57"/>
    <s v="Dora II"/>
    <x v="1"/>
    <s v="Edison Spa"/>
    <x v="1"/>
    <x v="0"/>
    <n v="2.8247723366396995"/>
  </r>
  <r>
    <n v="58"/>
    <s v="Gaggiolo"/>
    <x v="1"/>
    <s v="Edison Spa"/>
    <x v="1"/>
    <x v="0"/>
    <n v="0.34458015757488691"/>
  </r>
  <r>
    <n v="59"/>
    <s v="Molino II"/>
    <x v="9"/>
    <s v="Edison Spa"/>
    <x v="1"/>
    <x v="0"/>
    <n v="0.29279195529301771"/>
  </r>
  <r>
    <n v="60"/>
    <s v="Montalto"/>
    <x v="1"/>
    <s v="Edison Spa"/>
    <x v="1"/>
    <x v="0"/>
    <n v="3.4092079924961896"/>
  </r>
  <r>
    <n v="61"/>
    <s v="Montescheno"/>
    <x v="1"/>
    <s v="Edison Spa"/>
    <x v="1"/>
    <x v="0"/>
    <n v="1.4275463670959603"/>
  </r>
  <r>
    <n v="62"/>
    <s v="San Floreano"/>
    <x v="9"/>
    <s v="Edison Spa"/>
    <x v="1"/>
    <x v="0"/>
    <n v="0.141154008391981"/>
  </r>
  <r>
    <n v="63"/>
    <s v="Barcis"/>
    <x v="9"/>
    <s v="Cellina Energy"/>
    <x v="1"/>
    <x v="0"/>
    <n v="20.55"/>
  </r>
  <r>
    <n v="64"/>
    <s v="Cordenons"/>
    <x v="9"/>
    <s v="Cellina Energy"/>
    <x v="1"/>
    <x v="0"/>
    <n v="10.92"/>
  </r>
  <r>
    <n v="65"/>
    <s v="Ponte Giulio"/>
    <x v="9"/>
    <s v="Cellina Energy"/>
    <x v="1"/>
    <x v="0"/>
    <n v="10.23"/>
  </r>
  <r>
    <n v="66"/>
    <s v="San Foca"/>
    <x v="9"/>
    <s v="Cellina Energy"/>
    <x v="1"/>
    <x v="0"/>
    <n v="11.59"/>
  </r>
  <r>
    <n v="67"/>
    <s v="San Leonardo"/>
    <x v="9"/>
    <s v="Cellina Energy"/>
    <x v="1"/>
    <x v="0"/>
    <n v="18.010000000000002"/>
  </r>
  <r>
    <n v="68"/>
    <s v="Villa Rinaldi"/>
    <x v="9"/>
    <s v="Cellina Energy"/>
    <x v="1"/>
    <x v="0"/>
    <n v="10.09"/>
  </r>
  <r>
    <n v="69"/>
    <s v="Arta"/>
    <x v="9"/>
    <s v="Cellina Energy"/>
    <x v="1"/>
    <x v="0"/>
    <n v="0.18939930338422084"/>
  </r>
  <r>
    <n v="70"/>
    <s v="Campagnola"/>
    <x v="9"/>
    <s v="Cellina Energy"/>
    <x v="1"/>
    <x v="0"/>
    <n v="1.3924807855624071"/>
  </r>
  <r>
    <n v="71"/>
    <s v="Campolessi"/>
    <x v="9"/>
    <s v="Cellina Energy"/>
    <x v="1"/>
    <x v="0"/>
    <n v="0.89800000000000002"/>
  </r>
  <r>
    <n v="72"/>
    <s v="Cisterna"/>
    <x v="9"/>
    <s v="Cellina Energy"/>
    <x v="1"/>
    <x v="0"/>
    <n v="0.13619639763047364"/>
  </r>
  <r>
    <n v="73"/>
    <s v="Fogliano"/>
    <x v="9"/>
    <s v="Cellina Energy"/>
    <x v="1"/>
    <x v="0"/>
    <n v="0.21360080701078346"/>
  </r>
  <r>
    <n v="74"/>
    <s v="Luincis"/>
    <x v="9"/>
    <s v="Cellina Energy"/>
    <x v="1"/>
    <x v="0"/>
    <n v="1.6749206922297299"/>
  </r>
  <r>
    <n v="75"/>
    <s v="Maseris"/>
    <x v="9"/>
    <s v="Cellina Energy"/>
    <x v="1"/>
    <x v="0"/>
    <n v="0.3275249983374075"/>
  </r>
  <r>
    <n v="76"/>
    <s v="Monfalcone Anconetta"/>
    <x v="9"/>
    <s v="Cellina Energy"/>
    <x v="1"/>
    <x v="0"/>
    <n v="0.31482890015564502"/>
  </r>
  <r>
    <n v="77"/>
    <s v="Monfalcone Porto"/>
    <x v="9"/>
    <s v="Cellina Energy"/>
    <x v="1"/>
    <x v="0"/>
    <n v="0.42471481860381793"/>
  </r>
  <r>
    <n v="78"/>
    <s v="Mulinaris"/>
    <x v="9"/>
    <s v="Cellina Energy"/>
    <x v="1"/>
    <x v="0"/>
    <n v="0.48847187471596643"/>
  </r>
  <r>
    <n v="79"/>
    <s v="Pineda"/>
    <x v="9"/>
    <s v="Cellina Energy"/>
    <x v="1"/>
    <x v="0"/>
    <n v="0.66088765116161197"/>
  </r>
  <r>
    <n v="80"/>
    <s v="Redipuglia"/>
    <x v="9"/>
    <s v="Cellina Energy"/>
    <x v="1"/>
    <x v="0"/>
    <n v="0.54250699241566824"/>
  </r>
  <r>
    <n v="81"/>
    <s v="Rodeano"/>
    <x v="9"/>
    <s v="Cellina Energy"/>
    <x v="1"/>
    <x v="0"/>
    <n v="0.20442806703246383"/>
  </r>
  <r>
    <n v="82"/>
    <s v="Ronchi"/>
    <x v="9"/>
    <s v="Cellina Energy"/>
    <x v="1"/>
    <x v="0"/>
    <n v="0.29517046527976976"/>
  </r>
  <r>
    <n v="83"/>
    <s v="Savorgnana"/>
    <x v="9"/>
    <s v="Cellina Energy"/>
    <x v="1"/>
    <x v="0"/>
    <n v="2.3857631001253807"/>
  </r>
  <r>
    <n v="84"/>
    <s v="Tramba"/>
    <x v="9"/>
    <s v="Cellina Energy"/>
    <x v="1"/>
    <x v="0"/>
    <n v="0.19253112159715813"/>
  </r>
  <r>
    <n v="85"/>
    <s v="Zoppola"/>
    <x v="9"/>
    <s v="Cellina Energy"/>
    <x v="1"/>
    <x v="0"/>
    <n v="0.28199999999999997"/>
  </r>
  <r>
    <n v="86"/>
    <s v="Pizzighettone"/>
    <x v="0"/>
    <s v="Edison Spa"/>
    <x v="1"/>
    <x v="0"/>
    <n v="4.2380000000000004"/>
  </r>
  <r>
    <n v="87"/>
    <s v="Tavagnasco"/>
    <x v="1"/>
    <s v="Edison Spa"/>
    <x v="1"/>
    <x v="0"/>
    <n v="4.758"/>
  </r>
  <r>
    <n v="88"/>
    <s v="Montebuono"/>
    <x v="1"/>
    <s v="Edison Spa"/>
    <x v="1"/>
    <x v="0"/>
    <n v="0.17"/>
  </r>
  <r>
    <n v="89"/>
    <s v="Molino di Marano"/>
    <x v="1"/>
    <s v="Frendy Energy Spa"/>
    <x v="1"/>
    <x v="0"/>
    <n v="0.14209999999999998"/>
  </r>
  <r>
    <n v="90"/>
    <s v="Ex Strada Statate 11"/>
    <x v="1"/>
    <s v="Frendy Energy Spa"/>
    <x v="1"/>
    <x v="0"/>
    <n v="0.441"/>
  </r>
  <r>
    <n v="91"/>
    <s v="Termini"/>
    <x v="1"/>
    <s v="Frendy Energy Spa"/>
    <x v="1"/>
    <x v="0"/>
    <n v="0.17640000000000003"/>
  </r>
  <r>
    <n v="92"/>
    <s v="Maranzino"/>
    <x v="1"/>
    <s v="Frendy Energy Spa"/>
    <x v="1"/>
    <x v="0"/>
    <n v="0.13720000000000002"/>
  </r>
  <r>
    <n v="93"/>
    <s v="Pignone"/>
    <x v="0"/>
    <s v="Frendy Energy Spa"/>
    <x v="1"/>
    <x v="0"/>
    <n v="0.1176"/>
  </r>
  <r>
    <n v="94"/>
    <s v="1 Prolungamento"/>
    <x v="0"/>
    <s v="Frendy Energy Spa"/>
    <x v="1"/>
    <x v="0"/>
    <n v="0.12740000000000001"/>
  </r>
  <r>
    <n v="95"/>
    <s v="Brelle"/>
    <x v="0"/>
    <s v="Frendy Energy Spa"/>
    <x v="1"/>
    <x v="0"/>
    <n v="5.3899999999999997E-2"/>
  </r>
  <r>
    <n v="96"/>
    <s v="Travacca di Villanova"/>
    <x v="0"/>
    <s v="Frendy Energy Spa"/>
    <x v="1"/>
    <x v="0"/>
    <n v="0.21364"/>
  </r>
  <r>
    <n v="97"/>
    <s v="Codabassa"/>
    <x v="1"/>
    <s v="Frendy Energy Spa"/>
    <x v="1"/>
    <x v="0"/>
    <n v="5.3213999999999997E-2"/>
  </r>
  <r>
    <n v="98"/>
    <s v="Vecchia Strada Gambolò"/>
    <x v="0"/>
    <s v="Frendy Energy Spa"/>
    <x v="1"/>
    <x v="0"/>
    <n v="5.6056000000000002E-2"/>
  </r>
  <r>
    <n v="99"/>
    <s v="Brida dei Cavalletti"/>
    <x v="1"/>
    <s v="Frendy Energy Spa"/>
    <x v="1"/>
    <x v="0"/>
    <n v="0.21559999999999999"/>
  </r>
  <r>
    <n v="100"/>
    <s v="Chiusa della Città"/>
    <x v="1"/>
    <s v="Frendy Energy Spa"/>
    <x v="1"/>
    <x v="0"/>
    <n v="0.1666"/>
  </r>
  <r>
    <n v="101"/>
    <s v="Carrù"/>
    <x v="1"/>
    <s v="Frendy Energy Spa"/>
    <x v="1"/>
    <x v="0"/>
    <n v="0.83104"/>
  </r>
  <r>
    <n v="102"/>
    <s v="Polverificio"/>
    <x v="1"/>
    <s v="Idro Blu Spa"/>
    <x v="1"/>
    <x v="0"/>
    <n v="0.67620000000000002"/>
  </r>
  <r>
    <n v="103"/>
    <s v="Brusson"/>
    <x v="11"/>
    <s v="Idroelettrica Brusson Srl"/>
    <x v="1"/>
    <x v="0"/>
    <n v="0.96321000000000001"/>
  </r>
  <r>
    <n v="104"/>
    <s v="Cervino"/>
    <x v="11"/>
    <s v="Idroelettrica Cervino Srl"/>
    <x v="1"/>
    <x v="0"/>
    <n v="2.7117050000000003"/>
  </r>
  <r>
    <n v="105"/>
    <s v="Maen"/>
    <x v="11"/>
    <s v="Idroelettrica Cervino Srl"/>
    <x v="1"/>
    <x v="0"/>
    <n v="0.93384999999999996"/>
  </r>
  <r>
    <n v="106"/>
    <s v="Andretta - Bisaccia"/>
    <x v="12"/>
    <s v="E2I Energie Speciali Srl"/>
    <x v="2"/>
    <x v="0"/>
    <n v="70"/>
  </r>
  <r>
    <n v="107"/>
    <s v="Baselice"/>
    <x v="12"/>
    <s v="E2I Energie Speciali Srl"/>
    <x v="2"/>
    <x v="0"/>
    <n v="12"/>
  </r>
  <r>
    <n v="108"/>
    <s v="Casone Romano - Castelnuovo Daunia"/>
    <x v="7"/>
    <s v="E2I Energie Speciali Srl"/>
    <x v="2"/>
    <x v="0"/>
    <n v="2.6"/>
  </r>
  <r>
    <n v="109"/>
    <s v="Castiglione Messer Marino"/>
    <x v="4"/>
    <s v="E2I Energie Speciali Srl"/>
    <x v="2"/>
    <x v="0"/>
    <n v="0"/>
  </r>
  <r>
    <n v="110"/>
    <s v="Castiglione Messer Marino (IR1)"/>
    <x v="4"/>
    <s v="E2I Energie Speciali Srl"/>
    <x v="2"/>
    <x v="0"/>
    <n v="39.599999999999994"/>
  </r>
  <r>
    <n v="111"/>
    <s v="Castiglione Messer Marino - Ampliamento"/>
    <x v="4"/>
    <s v="E2I Energie Speciali Srl"/>
    <x v="2"/>
    <x v="0"/>
    <n v="15.84"/>
  </r>
  <r>
    <n v="112"/>
    <s v="Celle San Vito 1"/>
    <x v="7"/>
    <s v="E2I Energie Speciali Srl"/>
    <x v="2"/>
    <x v="0"/>
    <n v="3.15"/>
  </r>
  <r>
    <n v="113"/>
    <s v="Celle San Vito 2"/>
    <x v="7"/>
    <s v="E2I Energie Speciali Srl"/>
    <x v="2"/>
    <x v="0"/>
    <n v="4.2"/>
  </r>
  <r>
    <n v="114"/>
    <s v="Faeto San Vito Ciuccia"/>
    <x v="7"/>
    <s v="E2I Energie Speciali Srl"/>
    <x v="2"/>
    <x v="0"/>
    <n v="14.4"/>
  </r>
  <r>
    <n v="115"/>
    <s v="Faeto ampliamento"/>
    <x v="7"/>
    <s v="E2I Energie Speciali Srl"/>
    <x v="2"/>
    <x v="0"/>
    <n v="12"/>
  </r>
  <r>
    <n v="116"/>
    <s v="Foiano -Toppo Grosso - M.te Barbato"/>
    <x v="12"/>
    <s v="E2I Energie Speciali Srl"/>
    <x v="2"/>
    <x v="0"/>
    <n v="6.6"/>
  </r>
  <r>
    <n v="117"/>
    <s v="Foiano - Piano del Casino"/>
    <x v="12"/>
    <s v="E2I Energie Speciali Srl"/>
    <x v="2"/>
    <x v="0"/>
    <n v="9.6"/>
  </r>
  <r>
    <n v="118"/>
    <s v="Foiano Ampliamento"/>
    <x v="12"/>
    <s v="E2I Energie Speciali Srl"/>
    <x v="2"/>
    <x v="0"/>
    <n v="17"/>
  </r>
  <r>
    <n v="119"/>
    <s v="Fraine"/>
    <x v="4"/>
    <s v="E2I Energie Speciali Srl"/>
    <x v="2"/>
    <x v="0"/>
    <n v="9"/>
  </r>
  <r>
    <n v="120"/>
    <s v="Lucito"/>
    <x v="13"/>
    <s v="E2I Energie Speciali Srl"/>
    <x v="2"/>
    <x v="0"/>
    <n v="34"/>
  </r>
  <r>
    <n v="121"/>
    <s v="Mazara del Vallo"/>
    <x v="14"/>
    <s v="E2I Energie Speciali Srl"/>
    <x v="2"/>
    <x v="0"/>
    <n v="15"/>
  </r>
  <r>
    <n v="122"/>
    <s v="Melissa PESF"/>
    <x v="8"/>
    <s v="E2I Energie Speciali Srl"/>
    <x v="2"/>
    <x v="0"/>
    <n v="26"/>
  </r>
  <r>
    <n v="123"/>
    <s v="Melissa Strongoli"/>
    <x v="8"/>
    <s v="E2I Energie Speciali Srl"/>
    <x v="2"/>
    <x v="0"/>
    <n v="50"/>
  </r>
  <r>
    <n v="124"/>
    <s v="Mistretta"/>
    <x v="14"/>
    <s v="E2I Energie Speciali Srl"/>
    <x v="2"/>
    <x v="0"/>
    <n v="30"/>
  </r>
  <r>
    <n v="125"/>
    <s v="Montazzoli"/>
    <x v="4"/>
    <s v="E2I Energie Speciali Srl"/>
    <x v="2"/>
    <x v="0"/>
    <n v="9.6"/>
  </r>
  <r>
    <n v="126"/>
    <s v="Monteferrante"/>
    <x v="4"/>
    <s v="E2I Energie Speciali Srl"/>
    <x v="2"/>
    <x v="0"/>
    <n v="24.599999999999994"/>
  </r>
  <r>
    <n v="127"/>
    <s v="Montemignaio"/>
    <x v="3"/>
    <s v="E2I Energie Speciali Srl"/>
    <x v="2"/>
    <x v="0"/>
    <n v="1.8"/>
  </r>
  <r>
    <n v="128"/>
    <s v="Orsara di Puglia"/>
    <x v="7"/>
    <s v="E2I Energie Speciali Srl"/>
    <x v="2"/>
    <x v="0"/>
    <n v="18"/>
  </r>
  <r>
    <n v="129"/>
    <s v="Rignano Garganico"/>
    <x v="7"/>
    <s v="E2I Energie Speciali Srl"/>
    <x v="2"/>
    <x v="0"/>
    <n v="38"/>
  </r>
  <r>
    <n v="130"/>
    <s v="Ripabottoni"/>
    <x v="13"/>
    <s v="E2I Energie Speciali Srl"/>
    <x v="2"/>
    <x v="0"/>
    <n v="15.84"/>
  </r>
  <r>
    <n v="131"/>
    <s v="Roccaspinalveti"/>
    <x v="4"/>
    <s v="E2I Energie Speciali Srl"/>
    <x v="2"/>
    <x v="0"/>
    <n v="13.799999999999997"/>
  </r>
  <r>
    <n v="132"/>
    <s v="Rocchetta S.Antonio"/>
    <x v="7"/>
    <s v="E2I Energie Speciali Srl"/>
    <x v="2"/>
    <x v="0"/>
    <n v="5.25"/>
  </r>
  <r>
    <n v="133"/>
    <s v="Rojo del Sangro"/>
    <x v="4"/>
    <s v="E2I Energie Speciali Srl"/>
    <x v="2"/>
    <x v="0"/>
    <n v="6"/>
  </r>
  <r>
    <n v="134"/>
    <s v="San benedetto Val di Sambro"/>
    <x v="2"/>
    <s v="E2I Energie Speciali Srl"/>
    <x v="2"/>
    <x v="0"/>
    <n v="3.4"/>
  </r>
  <r>
    <n v="135"/>
    <s v="San Giorgio la Molara Polero"/>
    <x v="12"/>
    <s v="E2I Energie Speciali Srl"/>
    <x v="2"/>
    <x v="0"/>
    <n v="54"/>
  </r>
  <r>
    <n v="136"/>
    <s v="Schiavi d'Abruzzo"/>
    <x v="4"/>
    <s v="E2I Energie Speciali Srl"/>
    <x v="2"/>
    <x v="0"/>
    <n v="0"/>
  </r>
  <r>
    <n v="137"/>
    <s v="Schiavi d'Abruzzo (IR2)"/>
    <x v="4"/>
    <s v="E2I Energie Speciali Srl"/>
    <x v="2"/>
    <x v="0"/>
    <n v="13.2"/>
  </r>
  <r>
    <n v="138"/>
    <s v="Sella di Conza"/>
    <x v="12"/>
    <s v="E2I Energie Speciali Srl"/>
    <x v="2"/>
    <x v="0"/>
    <n v="10.02"/>
  </r>
  <r>
    <n v="139"/>
    <s v="Troia"/>
    <x v="7"/>
    <s v="E2I Energie Speciali Srl"/>
    <x v="2"/>
    <x v="0"/>
    <n v="12.5"/>
  </r>
  <r>
    <n v="140"/>
    <s v="Vaglio Ampliamento"/>
    <x v="15"/>
    <s v="E2I Energie Speciali Srl"/>
    <x v="2"/>
    <x v="0"/>
    <n v="15"/>
  </r>
  <r>
    <n v="141"/>
    <s v="Vaglio di Basilicata"/>
    <x v="15"/>
    <s v="E2I Energie Speciali Srl"/>
    <x v="2"/>
    <x v="0"/>
    <n v="0"/>
  </r>
  <r>
    <n v="142"/>
    <s v="Vaglio IR"/>
    <x v="15"/>
    <s v="E2I Energie Speciali Srl"/>
    <x v="2"/>
    <x v="0"/>
    <n v="20"/>
  </r>
  <r>
    <n v="143"/>
    <s v="Volturara Motta Montecorvino"/>
    <x v="7"/>
    <s v="E2I Energie Speciali Srl"/>
    <x v="2"/>
    <x v="0"/>
    <n v="11.4"/>
  </r>
  <r>
    <n v="144"/>
    <s v="Volturino"/>
    <x v="7"/>
    <s v="E2I Energie Speciali Srl"/>
    <x v="2"/>
    <x v="0"/>
    <n v="13.08"/>
  </r>
  <r>
    <n v="145"/>
    <s v="Photovoltaic Altomonte"/>
    <x v="8"/>
    <s v="Edison Spa"/>
    <x v="3"/>
    <x v="0"/>
    <n v="3.298"/>
  </r>
  <r>
    <n v="146"/>
    <s v="Photovoltaic Piedimonte"/>
    <x v="16"/>
    <s v="Edison Spa"/>
    <x v="3"/>
    <x v="0"/>
    <n v="0.99900000000000011"/>
  </r>
  <r>
    <n v="147"/>
    <s v="Photovoltaic  Dora"/>
    <x v="1"/>
    <s v="Edison Spa"/>
    <x v="3"/>
    <x v="0"/>
    <n v="0.34399999999999997"/>
  </r>
  <r>
    <n v="148"/>
    <s v="Photovoltaic  Montalto"/>
    <x v="1"/>
    <s v="Edison Spa"/>
    <x v="3"/>
    <x v="0"/>
    <n v="0.38400000000000001"/>
  </r>
  <r>
    <n v="149"/>
    <s v="Photovoltaic  Castellavazzo"/>
    <x v="5"/>
    <s v="Compagnia Energetica Bellunese Spa"/>
    <x v="3"/>
    <x v="0"/>
    <n v="0.104"/>
  </r>
  <r>
    <n v="150"/>
    <s v="Photovoltaic Oviglio"/>
    <x v="1"/>
    <s v="E2I Energie Speciali Srl"/>
    <x v="3"/>
    <x v="0"/>
    <n v="3"/>
  </r>
  <r>
    <n v="151"/>
    <s v="Photovoltaic Cascine Bianche"/>
    <x v="1"/>
    <s v="E2I Energie Speciali Srl"/>
    <x v="3"/>
    <x v="0"/>
    <n v="1"/>
  </r>
  <r>
    <n v="152"/>
    <s v="Photovoltaic Termoli"/>
    <x v="13"/>
    <s v="E2I Energie Speciali Srl"/>
    <x v="3"/>
    <x v="0"/>
    <n v="1"/>
  </r>
  <r>
    <n v="153"/>
    <s v="Castellavazzo"/>
    <x v="5"/>
    <s v="Compagnia Energetica Bellunese Spa"/>
    <x v="4"/>
    <x v="0"/>
    <n v="5.2060000000000004"/>
  </r>
  <r>
    <n v="154"/>
    <s v="HAUPT PHARMA "/>
    <x v="16"/>
    <s v="Edison Energy Solutions Spa"/>
    <x v="5"/>
    <x v="1"/>
    <n v="2.004"/>
  </r>
  <r>
    <n v="155"/>
    <s v="CIER"/>
    <x v="4"/>
    <s v="Edison Energy Solutions Spa"/>
    <x v="5"/>
    <x v="1"/>
    <n v="1.2869999999999999"/>
  </r>
  <r>
    <n v="156"/>
    <s v="PLASTOTECNICA"/>
    <x v="5"/>
    <s v="Edison Energy Solutions Spa"/>
    <x v="5"/>
    <x v="1"/>
    <n v="4.4039999999999999"/>
  </r>
  <r>
    <n v="157"/>
    <s v="Albizzate"/>
    <x v="0"/>
    <s v="Fenice"/>
    <x v="5"/>
    <x v="1"/>
    <n v="3.7"/>
  </r>
  <r>
    <n v="158"/>
    <s v="Atessa Sevel"/>
    <x v="4"/>
    <s v="Fenice"/>
    <x v="0"/>
    <x v="1"/>
    <n v="33.5"/>
  </r>
  <r>
    <n v="159"/>
    <s v="Barge"/>
    <x v="1"/>
    <s v="Fenice"/>
    <x v="5"/>
    <x v="1"/>
    <n v="6"/>
  </r>
  <r>
    <n v="160"/>
    <s v="Brescia"/>
    <x v="0"/>
    <s v="Fenice"/>
    <x v="5"/>
    <x v="1"/>
    <n v="3"/>
  </r>
  <r>
    <n v="161"/>
    <s v="Caserta - Marcianise"/>
    <x v="12"/>
    <s v="Fenice"/>
    <x v="5"/>
    <x v="1"/>
    <n v="5"/>
  </r>
  <r>
    <n v="162"/>
    <s v="Ergom -Melfi"/>
    <x v="15"/>
    <s v="Fenice"/>
    <x v="5"/>
    <x v="1"/>
    <n v="5.12"/>
  </r>
  <r>
    <n v="163"/>
    <s v="Gelco"/>
    <x v="4"/>
    <s v="Fenice"/>
    <x v="5"/>
    <x v="1"/>
    <n v="1.7"/>
  </r>
  <r>
    <n v="164"/>
    <s v="Melfi (Rendina Ambiente S.r.l)"/>
    <x v="15"/>
    <s v="Fenice"/>
    <x v="5"/>
    <x v="1"/>
    <n v="7"/>
  </r>
  <r>
    <n v="165"/>
    <s v="Parma"/>
    <x v="2"/>
    <s v="Fenice"/>
    <x v="0"/>
    <x v="1"/>
    <n v="36"/>
  </r>
  <r>
    <n v="166"/>
    <s v="Sata"/>
    <x v="15"/>
    <s v="Fenice"/>
    <x v="5"/>
    <x v="1"/>
    <n v="30"/>
  </r>
  <r>
    <n v="167"/>
    <s v="Scarlino"/>
    <x v="3"/>
    <s v="Fenice"/>
    <x v="5"/>
    <x v="1"/>
    <n v="12.5"/>
  </r>
  <r>
    <n v="168"/>
    <s v="Stura"/>
    <x v="1"/>
    <s v="Fenice"/>
    <x v="5"/>
    <x v="1"/>
    <n v="10"/>
  </r>
  <r>
    <n v="169"/>
    <s v="Piemme Castelvetro"/>
    <x v="2"/>
    <s v="Fenice"/>
    <x v="5"/>
    <x v="1"/>
    <n v="4.5999999999999996"/>
  </r>
  <r>
    <n v="170"/>
    <s v="FAI (Fondo Ambiente Italiano)"/>
    <x v="0"/>
    <s v="Edison Energy Solutions Spa"/>
    <x v="6"/>
    <x v="1"/>
    <n v="0.22500000000000001"/>
  </r>
  <r>
    <n v="171"/>
    <s v="La Mandria"/>
    <x v="1"/>
    <s v="Fenice"/>
    <x v="1"/>
    <x v="1"/>
    <n v="1.5"/>
  </r>
  <r>
    <n v="172"/>
    <s v="Photovoltaic Mediglia"/>
    <x v="0"/>
    <s v="Edison Energy Solutions Spa"/>
    <x v="3"/>
    <x v="1"/>
    <n v="0.86480000000000001"/>
  </r>
  <r>
    <n v="173"/>
    <s v="Photovoltaic Latina"/>
    <x v="16"/>
    <s v="Edison Energy Solutions Spa"/>
    <x v="3"/>
    <x v="1"/>
    <n v="0.96879999999999999"/>
  </r>
  <r>
    <n v="174"/>
    <s v="Photovoltaic Monza"/>
    <x v="0"/>
    <s v="Edison Energy Solutions Spa"/>
    <x v="3"/>
    <x v="1"/>
    <n v="1.3546499999999999"/>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x v="0"/>
    <n v="5955017"/>
    <x v="0"/>
    <x v="0"/>
  </r>
  <r>
    <x v="1"/>
    <n v="7767959"/>
    <x v="0"/>
    <x v="0"/>
  </r>
  <r>
    <x v="2"/>
    <n v="7678742"/>
    <x v="0"/>
    <x v="0"/>
  </r>
  <r>
    <x v="3"/>
    <n v="6968615"/>
    <x v="0"/>
    <x v="0"/>
  </r>
  <r>
    <x v="0"/>
    <n v="221879"/>
    <x v="1"/>
    <x v="0"/>
  </r>
  <r>
    <x v="1"/>
    <n v="330732"/>
    <x v="1"/>
    <x v="0"/>
  </r>
  <r>
    <x v="2"/>
    <n v="479651"/>
    <x v="1"/>
    <x v="0"/>
  </r>
  <r>
    <x v="3"/>
    <n v="417954"/>
    <x v="1"/>
    <x v="0"/>
  </r>
  <r>
    <x v="0"/>
    <n v="2637"/>
    <x v="2"/>
    <x v="1"/>
  </r>
  <r>
    <x v="1"/>
    <n v="4618"/>
    <x v="2"/>
    <x v="1"/>
  </r>
  <r>
    <x v="2"/>
    <n v="4408"/>
    <x v="2"/>
    <x v="1"/>
  </r>
  <r>
    <x v="3"/>
    <n v="4069"/>
    <x v="2"/>
    <x v="1"/>
  </r>
  <r>
    <x v="0"/>
    <n v="177"/>
    <x v="3"/>
    <x v="1"/>
  </r>
  <r>
    <x v="1"/>
    <n v="837"/>
    <x v="3"/>
    <x v="1"/>
  </r>
  <r>
    <x v="2"/>
    <n v="858"/>
    <x v="3"/>
    <x v="1"/>
  </r>
  <r>
    <x v="3"/>
    <n v="924"/>
    <x v="3"/>
    <x v="1"/>
  </r>
  <r>
    <x v="0"/>
    <n v="7"/>
    <x v="4"/>
    <x v="1"/>
  </r>
  <r>
    <x v="1"/>
    <n v="106"/>
    <x v="4"/>
    <x v="1"/>
  </r>
  <r>
    <x v="2"/>
    <n v="147"/>
    <x v="4"/>
    <x v="1"/>
  </r>
  <r>
    <x v="3"/>
    <n v="142"/>
    <x v="4"/>
    <x v="1"/>
  </r>
  <r>
    <x v="0"/>
    <n v="1229"/>
    <x v="5"/>
    <x v="1"/>
  </r>
  <r>
    <x v="1"/>
    <n v="1029"/>
    <x v="5"/>
    <x v="1"/>
  </r>
  <r>
    <x v="2"/>
    <n v="1244"/>
    <x v="5"/>
    <x v="1"/>
  </r>
  <r>
    <x v="3"/>
    <n v="1260"/>
    <x v="5"/>
    <x v="1"/>
  </r>
  <r>
    <x v="0"/>
    <n v="352.3"/>
    <x v="6"/>
    <x v="2"/>
  </r>
  <r>
    <x v="1"/>
    <n v="351.4"/>
    <x v="6"/>
    <x v="2"/>
  </r>
  <r>
    <x v="2"/>
    <n v="361.3"/>
    <x v="6"/>
    <x v="2"/>
  </r>
  <r>
    <x v="3"/>
    <n v="355.4"/>
    <x v="6"/>
    <x v="2"/>
  </r>
  <r>
    <x v="0"/>
    <n v="273.10000000000002"/>
    <x v="7"/>
    <x v="2"/>
  </r>
  <r>
    <x v="1"/>
    <n v="296.7"/>
    <x v="7"/>
    <x v="2"/>
  </r>
  <r>
    <x v="2"/>
    <n v="314"/>
    <x v="7"/>
    <x v="2"/>
  </r>
  <r>
    <x v="3"/>
    <n v="293.60000000000002"/>
    <x v="7"/>
    <x v="2"/>
  </r>
  <r>
    <x v="0"/>
    <n v="319"/>
    <x v="8"/>
    <x v="2"/>
  </r>
  <r>
    <x v="1"/>
    <n v="333.2"/>
    <x v="8"/>
    <x v="2"/>
  </r>
  <r>
    <x v="2"/>
    <n v="364.6"/>
    <x v="8"/>
    <x v="2"/>
  </r>
  <r>
    <x v="3"/>
    <n v="345.4"/>
    <x v="8"/>
    <x v="2"/>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
  <r>
    <x v="0"/>
    <n v="489967"/>
    <x v="0"/>
    <x v="0"/>
    <x v="0"/>
  </r>
  <r>
    <x v="1"/>
    <n v="446919"/>
    <x v="0"/>
    <x v="0"/>
    <x v="0"/>
  </r>
  <r>
    <x v="2"/>
    <n v="433218"/>
    <x v="0"/>
    <x v="0"/>
    <x v="0"/>
  </r>
  <r>
    <x v="3"/>
    <n v="484702"/>
    <x v="0"/>
    <x v="0"/>
    <x v="0"/>
  </r>
  <r>
    <x v="0"/>
    <n v="7516"/>
    <x v="0"/>
    <x v="1"/>
    <x v="0"/>
  </r>
  <r>
    <x v="1"/>
    <n v="4098"/>
    <x v="0"/>
    <x v="1"/>
    <x v="0"/>
  </r>
  <r>
    <x v="2"/>
    <n v="67322"/>
    <x v="0"/>
    <x v="1"/>
    <x v="0"/>
  </r>
  <r>
    <x v="3"/>
    <n v="93094"/>
    <x v="0"/>
    <x v="1"/>
    <x v="0"/>
  </r>
  <r>
    <x v="0"/>
    <n v="94510"/>
    <x v="0"/>
    <x v="2"/>
    <x v="0"/>
  </r>
  <r>
    <x v="1"/>
    <n v="86586"/>
    <x v="0"/>
    <x v="2"/>
    <x v="0"/>
  </r>
  <r>
    <x v="2"/>
    <n v="72318"/>
    <x v="0"/>
    <x v="2"/>
    <x v="0"/>
  </r>
  <r>
    <x v="3"/>
    <n v="78425"/>
    <x v="0"/>
    <x v="2"/>
    <x v="0"/>
  </r>
  <r>
    <x v="0"/>
    <n v="385235"/>
    <x v="1"/>
    <x v="3"/>
    <x v="0"/>
  </r>
  <r>
    <x v="1"/>
    <n v="367269"/>
    <x v="1"/>
    <x v="3"/>
    <x v="0"/>
  </r>
  <r>
    <x v="2"/>
    <n v="350015"/>
    <x v="1"/>
    <x v="3"/>
    <x v="0"/>
  </r>
  <r>
    <x v="3"/>
    <n v="770761"/>
    <x v="1"/>
    <x v="3"/>
    <x v="0"/>
  </r>
  <r>
    <x v="0"/>
    <n v="136164"/>
    <x v="1"/>
    <x v="4"/>
    <x v="0"/>
  </r>
  <r>
    <x v="1"/>
    <n v="136243"/>
    <x v="1"/>
    <x v="4"/>
    <x v="0"/>
  </r>
  <r>
    <x v="2"/>
    <n v="136443"/>
    <x v="1"/>
    <x v="4"/>
    <x v="0"/>
  </r>
  <r>
    <x v="3"/>
    <n v="135529"/>
    <x v="1"/>
    <x v="4"/>
    <x v="0"/>
  </r>
  <r>
    <x v="0"/>
    <n v="0"/>
    <x v="1"/>
    <x v="5"/>
    <x v="0"/>
  </r>
  <r>
    <x v="1"/>
    <n v="0"/>
    <x v="1"/>
    <x v="5"/>
    <x v="0"/>
  </r>
  <r>
    <x v="2"/>
    <n v="0"/>
    <x v="1"/>
    <x v="5"/>
    <x v="0"/>
  </r>
  <r>
    <x v="3"/>
    <n v="29916"/>
    <x v="1"/>
    <x v="5"/>
    <x v="0"/>
  </r>
  <r>
    <x v="0"/>
    <n v="1513"/>
    <x v="0"/>
    <x v="0"/>
    <x v="1"/>
  </r>
  <r>
    <x v="1"/>
    <n v="1218"/>
    <x v="0"/>
    <x v="0"/>
    <x v="1"/>
  </r>
  <r>
    <x v="2"/>
    <n v="1180"/>
    <x v="0"/>
    <x v="0"/>
    <x v="1"/>
  </r>
  <r>
    <x v="3"/>
    <n v="1219"/>
    <x v="0"/>
    <x v="0"/>
    <x v="1"/>
  </r>
  <r>
    <x v="0"/>
    <n v="14502"/>
    <x v="0"/>
    <x v="1"/>
    <x v="1"/>
  </r>
  <r>
    <x v="1"/>
    <n v="9325"/>
    <x v="0"/>
    <x v="1"/>
    <x v="1"/>
  </r>
  <r>
    <x v="2"/>
    <n v="8855"/>
    <x v="0"/>
    <x v="1"/>
    <x v="1"/>
  </r>
  <r>
    <x v="3"/>
    <n v="11560"/>
    <x v="0"/>
    <x v="1"/>
    <x v="1"/>
  </r>
  <r>
    <x v="0"/>
    <n v="1094"/>
    <x v="0"/>
    <x v="2"/>
    <x v="1"/>
  </r>
  <r>
    <x v="1"/>
    <n v="1039"/>
    <x v="0"/>
    <x v="2"/>
    <x v="1"/>
  </r>
  <r>
    <x v="2"/>
    <n v="893"/>
    <x v="0"/>
    <x v="2"/>
    <x v="1"/>
  </r>
  <r>
    <x v="3"/>
    <n v="1005"/>
    <x v="0"/>
    <x v="2"/>
    <x v="1"/>
  </r>
  <r>
    <x v="0"/>
    <n v="5959"/>
    <x v="1"/>
    <x v="3"/>
    <x v="1"/>
  </r>
  <r>
    <x v="1"/>
    <n v="6466"/>
    <x v="1"/>
    <x v="3"/>
    <x v="1"/>
  </r>
  <r>
    <x v="2"/>
    <n v="6846"/>
    <x v="1"/>
    <x v="3"/>
    <x v="1"/>
  </r>
  <r>
    <x v="3"/>
    <n v="7294"/>
    <x v="1"/>
    <x v="3"/>
    <x v="1"/>
  </r>
  <r>
    <x v="0"/>
    <n v="75"/>
    <x v="1"/>
    <x v="4"/>
    <x v="1"/>
  </r>
  <r>
    <x v="1"/>
    <n v="65"/>
    <x v="1"/>
    <x v="4"/>
    <x v="1"/>
  </r>
  <r>
    <x v="2"/>
    <n v="65"/>
    <x v="1"/>
    <x v="4"/>
    <x v="1"/>
  </r>
  <r>
    <x v="3"/>
    <n v="69"/>
    <x v="1"/>
    <x v="4"/>
    <x v="1"/>
  </r>
  <r>
    <x v="0"/>
    <n v="0"/>
    <x v="1"/>
    <x v="5"/>
    <x v="1"/>
  </r>
  <r>
    <x v="1"/>
    <n v="0"/>
    <x v="1"/>
    <x v="5"/>
    <x v="1"/>
  </r>
  <r>
    <x v="2"/>
    <n v="0"/>
    <x v="1"/>
    <x v="5"/>
    <x v="1"/>
  </r>
  <r>
    <x v="3"/>
    <n v="10"/>
    <x v="1"/>
    <x v="5"/>
    <x v="1"/>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
  <r>
    <x v="0"/>
    <n v="14116"/>
    <x v="0"/>
    <x v="0"/>
    <s v="Power"/>
  </r>
  <r>
    <x v="0"/>
    <n v="3378"/>
    <x v="0"/>
    <x v="1"/>
    <s v="Power"/>
  </r>
  <r>
    <x v="0"/>
    <n v="987"/>
    <x v="0"/>
    <x v="2"/>
    <s v="Power"/>
  </r>
  <r>
    <x v="0"/>
    <n v="70952"/>
    <x v="0"/>
    <x v="3"/>
    <s v="Power"/>
  </r>
  <r>
    <x v="0"/>
    <n v="17108"/>
    <x v="1"/>
    <x v="4"/>
    <s v="Power"/>
  </r>
  <r>
    <x v="0"/>
    <n v="72325"/>
    <x v="1"/>
    <x v="5"/>
    <s v="Power"/>
  </r>
  <r>
    <x v="1"/>
    <n v="16765"/>
    <x v="0"/>
    <x v="0"/>
    <s v="Power"/>
  </r>
  <r>
    <x v="1"/>
    <n v="2490"/>
    <x v="0"/>
    <x v="1"/>
    <s v="Power"/>
  </r>
  <r>
    <x v="1"/>
    <n v="1103"/>
    <x v="0"/>
    <x v="2"/>
    <s v="Power"/>
  </r>
  <r>
    <x v="1"/>
    <n v="70836"/>
    <x v="0"/>
    <x v="3"/>
    <s v="Power"/>
  </r>
  <r>
    <x v="1"/>
    <n v="11582"/>
    <x v="1"/>
    <x v="4"/>
    <s v="Power"/>
  </r>
  <r>
    <x v="1"/>
    <n v="79612"/>
    <x v="1"/>
    <x v="5"/>
    <s v="Power"/>
  </r>
  <r>
    <x v="2"/>
    <n v="16469"/>
    <x v="0"/>
    <x v="0"/>
    <s v="Power"/>
  </r>
  <r>
    <x v="2"/>
    <n v="2209"/>
    <x v="0"/>
    <x v="1"/>
    <s v="Power"/>
  </r>
  <r>
    <x v="2"/>
    <n v="1064"/>
    <x v="0"/>
    <x v="2"/>
    <s v="Power"/>
  </r>
  <r>
    <x v="2"/>
    <n v="33288"/>
    <x v="0"/>
    <x v="3"/>
    <s v="Power"/>
  </r>
  <r>
    <x v="2"/>
    <n v="10927"/>
    <x v="1"/>
    <x v="4"/>
    <s v="Power"/>
  </r>
  <r>
    <x v="2"/>
    <n v="42103"/>
    <x v="1"/>
    <x v="5"/>
    <s v="Power"/>
  </r>
  <r>
    <x v="3"/>
    <n v="14763"/>
    <x v="0"/>
    <x v="0"/>
    <s v="Power"/>
  </r>
  <r>
    <x v="3"/>
    <n v="3080"/>
    <x v="0"/>
    <x v="1"/>
    <s v="Power"/>
  </r>
  <r>
    <x v="3"/>
    <n v="955"/>
    <x v="0"/>
    <x v="2"/>
    <s v="Power"/>
  </r>
  <r>
    <x v="3"/>
    <n v="24020"/>
    <x v="0"/>
    <x v="3"/>
    <s v="Power"/>
  </r>
  <r>
    <x v="3"/>
    <n v="13694"/>
    <x v="1"/>
    <x v="4"/>
    <s v="Power"/>
  </r>
  <r>
    <x v="3"/>
    <n v="29124"/>
    <x v="1"/>
    <x v="5"/>
    <s v="Power"/>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
  <r>
    <x v="0"/>
    <n v="485"/>
    <x v="0"/>
    <x v="0"/>
    <s v="Gas"/>
  </r>
  <r>
    <x v="0"/>
    <n v="12722"/>
    <x v="0"/>
    <x v="1"/>
    <s v="Gas"/>
  </r>
  <r>
    <x v="0"/>
    <n v="4172"/>
    <x v="0"/>
    <x v="2"/>
    <s v="Gas"/>
  </r>
  <r>
    <x v="0"/>
    <n v="197"/>
    <x v="0"/>
    <x v="3"/>
    <s v="Gas"/>
  </r>
  <r>
    <x v="0"/>
    <n v="1508"/>
    <x v="0"/>
    <x v="4"/>
    <s v="Gas"/>
  </r>
  <r>
    <x v="0"/>
    <n v="2648"/>
    <x v="1"/>
    <x v="5"/>
    <s v="Gas"/>
  </r>
  <r>
    <x v="0"/>
    <n v="3385"/>
    <x v="1"/>
    <x v="6"/>
    <s v="Gas"/>
  </r>
  <r>
    <x v="0"/>
    <n v="5671"/>
    <x v="1"/>
    <x v="7"/>
    <s v="Gas"/>
  </r>
  <r>
    <x v="0"/>
    <n v="5872"/>
    <x v="1"/>
    <x v="8"/>
    <s v="Gas"/>
  </r>
  <r>
    <x v="0"/>
    <n v="1508"/>
    <x v="1"/>
    <x v="9"/>
    <s v="Gas"/>
  </r>
  <r>
    <x v="1"/>
    <n v="521"/>
    <x v="0"/>
    <x v="0"/>
    <s v="Gas"/>
  </r>
  <r>
    <x v="1"/>
    <n v="14615"/>
    <x v="0"/>
    <x v="1"/>
    <s v="Gas"/>
  </r>
  <r>
    <x v="1"/>
    <n v="6745"/>
    <x v="0"/>
    <x v="2"/>
    <s v="Gas"/>
  </r>
  <r>
    <x v="1"/>
    <n v="0"/>
    <x v="0"/>
    <x v="3"/>
    <s v="Gas"/>
  </r>
  <r>
    <x v="1"/>
    <n v="1403"/>
    <x v="0"/>
    <x v="4"/>
    <s v="Gas"/>
  </r>
  <r>
    <x v="1"/>
    <n v="2562"/>
    <x v="1"/>
    <x v="5"/>
    <s v="Gas"/>
  </r>
  <r>
    <x v="1"/>
    <n v="3970"/>
    <x v="1"/>
    <x v="6"/>
    <s v="Gas"/>
  </r>
  <r>
    <x v="1"/>
    <n v="7320"/>
    <x v="1"/>
    <x v="7"/>
    <s v="Gas"/>
  </r>
  <r>
    <x v="1"/>
    <n v="8029"/>
    <x v="1"/>
    <x v="8"/>
    <s v="Gas"/>
  </r>
  <r>
    <x v="1"/>
    <n v="1403"/>
    <x v="1"/>
    <x v="9"/>
    <s v="Gas"/>
  </r>
  <r>
    <x v="2"/>
    <n v="437"/>
    <x v="0"/>
    <x v="0"/>
    <s v="Gas"/>
  </r>
  <r>
    <x v="2"/>
    <n v="15102"/>
    <x v="0"/>
    <x v="1"/>
    <s v="Gas"/>
  </r>
  <r>
    <x v="2"/>
    <n v="5843"/>
    <x v="0"/>
    <x v="2"/>
    <s v="Gas"/>
  </r>
  <r>
    <x v="2"/>
    <n v="-94"/>
    <x v="0"/>
    <x v="3"/>
    <s v="Gas"/>
  </r>
  <r>
    <x v="2"/>
    <n v="1637"/>
    <x v="0"/>
    <x v="4"/>
    <s v="Gas"/>
  </r>
  <r>
    <x v="2"/>
    <n v="2404"/>
    <x v="1"/>
    <x v="5"/>
    <s v="Gas"/>
  </r>
  <r>
    <x v="2"/>
    <n v="4507"/>
    <x v="1"/>
    <x v="6"/>
    <s v="Gas"/>
  </r>
  <r>
    <x v="2"/>
    <n v="7311"/>
    <x v="1"/>
    <x v="7"/>
    <s v="Gas"/>
  </r>
  <r>
    <x v="2"/>
    <n v="7066"/>
    <x v="1"/>
    <x v="8"/>
    <s v="Gas"/>
  </r>
  <r>
    <x v="2"/>
    <n v="1636"/>
    <x v="1"/>
    <x v="9"/>
    <s v="Gas"/>
  </r>
  <r>
    <x v="3"/>
    <n v="354"/>
    <x v="0"/>
    <x v="0"/>
    <s v="Gas"/>
  </r>
  <r>
    <x v="3"/>
    <n v="14566"/>
    <x v="0"/>
    <x v="1"/>
    <s v="Gas"/>
  </r>
  <r>
    <x v="3"/>
    <n v="5811"/>
    <x v="0"/>
    <x v="2"/>
    <s v="Gas"/>
  </r>
  <r>
    <x v="3"/>
    <n v="-17"/>
    <x v="0"/>
    <x v="3"/>
    <s v="Gas"/>
  </r>
  <r>
    <x v="3"/>
    <n v="1909"/>
    <x v="0"/>
    <x v="4"/>
    <s v="Gas"/>
  </r>
  <r>
    <x v="3"/>
    <n v="2804"/>
    <x v="1"/>
    <x v="5"/>
    <s v="Gas"/>
  </r>
  <r>
    <x v="3"/>
    <n v="4518"/>
    <x v="1"/>
    <x v="6"/>
    <s v="Gas"/>
  </r>
  <r>
    <x v="3"/>
    <n v="6501"/>
    <x v="1"/>
    <x v="7"/>
    <s v="Gas"/>
  </r>
  <r>
    <x v="3"/>
    <n v="6890"/>
    <x v="1"/>
    <x v="8"/>
    <s v="Gas"/>
  </r>
  <r>
    <x v="3"/>
    <n v="1909"/>
    <x v="1"/>
    <x v="9"/>
    <s v="Gas"/>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2">
  <r>
    <x v="0"/>
    <n v="0.2"/>
    <x v="0"/>
    <x v="0"/>
  </r>
  <r>
    <x v="1"/>
    <n v="0.17"/>
    <x v="0"/>
    <x v="0"/>
  </r>
  <r>
    <x v="2"/>
    <n v="0.02"/>
    <x v="0"/>
    <x v="0"/>
  </r>
  <r>
    <x v="3"/>
    <n v="7.0000000000000007E-2"/>
    <x v="0"/>
    <x v="0"/>
  </r>
  <r>
    <x v="0"/>
    <n v="-795"/>
    <x v="1"/>
    <x v="1"/>
  </r>
  <r>
    <x v="1"/>
    <n v="-260"/>
    <x v="1"/>
    <x v="1"/>
  </r>
  <r>
    <x v="2"/>
    <n v="42"/>
    <x v="1"/>
    <x v="1"/>
  </r>
  <r>
    <x v="3"/>
    <n v="199"/>
    <x v="1"/>
    <x v="1"/>
  </r>
  <r>
    <x v="0"/>
    <n v="1261"/>
    <x v="1"/>
    <x v="2"/>
  </r>
  <r>
    <x v="1"/>
    <n v="653"/>
    <x v="1"/>
    <x v="2"/>
  </r>
  <r>
    <x v="2"/>
    <n v="803"/>
    <x v="1"/>
    <x v="2"/>
  </r>
  <r>
    <x v="3"/>
    <n v="793"/>
    <x v="1"/>
    <x v="2"/>
  </r>
  <r>
    <x v="0"/>
    <m/>
    <x v="2"/>
    <x v="3"/>
  </r>
  <r>
    <x v="1"/>
    <m/>
    <x v="2"/>
    <x v="3"/>
  </r>
  <r>
    <x v="2"/>
    <n v="5613"/>
    <x v="2"/>
    <x v="3"/>
  </r>
  <r>
    <x v="3"/>
    <n v="5840"/>
    <x v="2"/>
    <x v="3"/>
  </r>
  <r>
    <x v="0"/>
    <n v="12117"/>
    <x v="1"/>
    <x v="4"/>
  </r>
  <r>
    <x v="1"/>
    <n v="11266"/>
    <x v="1"/>
    <x v="4"/>
  </r>
  <r>
    <x v="2"/>
    <n v="8926"/>
    <x v="1"/>
    <x v="4"/>
  </r>
  <r>
    <x v="3"/>
    <n v="9313"/>
    <x v="1"/>
    <x v="4"/>
  </r>
  <r>
    <x v="0"/>
    <m/>
    <x v="2"/>
    <x v="5"/>
  </r>
  <r>
    <x v="1"/>
    <m/>
    <x v="2"/>
    <x v="5"/>
  </r>
  <r>
    <x v="2"/>
    <n v="478"/>
    <x v="2"/>
    <x v="5"/>
  </r>
  <r>
    <x v="3"/>
    <n v="582"/>
    <x v="2"/>
    <x v="5"/>
  </r>
  <r>
    <x v="0"/>
    <n v="1147"/>
    <x v="2"/>
    <x v="6"/>
  </r>
  <r>
    <x v="1"/>
    <n v="1062"/>
    <x v="2"/>
    <x v="6"/>
  </r>
  <r>
    <x v="2"/>
    <n v="116"/>
    <x v="2"/>
    <x v="6"/>
  </r>
  <r>
    <x v="3"/>
    <n v="416"/>
    <x v="2"/>
    <x v="6"/>
  </r>
  <r>
    <x v="0"/>
    <n v="0.90900000000000003"/>
    <x v="0"/>
    <x v="7"/>
  </r>
  <r>
    <x v="1"/>
    <n v="1.6259999999999999"/>
    <x v="0"/>
    <x v="7"/>
  </r>
  <r>
    <x v="2"/>
    <n v="0.1"/>
    <x v="0"/>
    <x v="7"/>
  </r>
  <r>
    <x v="3"/>
    <n v="0.52400000000000002"/>
    <x v="0"/>
    <x v="7"/>
  </r>
  <r>
    <x v="0"/>
    <n v="0.16300000000000001"/>
    <x v="0"/>
    <x v="8"/>
  </r>
  <r>
    <x v="1"/>
    <n v="0.14499999999999999"/>
    <x v="0"/>
    <x v="8"/>
  </r>
  <r>
    <x v="2"/>
    <n v="1.7999999999999999E-2"/>
    <x v="0"/>
    <x v="8"/>
  </r>
  <r>
    <x v="3"/>
    <n v="6.3E-2"/>
    <x v="0"/>
    <x v="8"/>
  </r>
  <r>
    <x v="0"/>
    <n v="-980"/>
    <x v="1"/>
    <x v="9"/>
  </r>
  <r>
    <x v="1"/>
    <n v="-389"/>
    <x v="1"/>
    <x v="9"/>
  </r>
  <r>
    <x v="2"/>
    <n v="-176"/>
    <x v="1"/>
    <x v="9"/>
  </r>
  <r>
    <x v="3"/>
    <n v="54"/>
    <x v="1"/>
    <x v="9"/>
  </r>
  <r>
    <x v="0"/>
    <n v="-862"/>
    <x v="1"/>
    <x v="10"/>
  </r>
  <r>
    <x v="1"/>
    <n v="-347"/>
    <x v="1"/>
    <x v="10"/>
  </r>
  <r>
    <x v="2"/>
    <n v="-41"/>
    <x v="1"/>
    <x v="10"/>
  </r>
  <r>
    <x v="3"/>
    <n v="184"/>
    <x v="1"/>
    <x v="10"/>
  </r>
  <r>
    <x v="0"/>
    <n v="5876"/>
    <x v="2"/>
    <x v="11"/>
  </r>
  <r>
    <x v="1"/>
    <n v="6265"/>
    <x v="2"/>
    <x v="11"/>
  </r>
  <r>
    <x v="2"/>
    <n v="6203"/>
    <x v="2"/>
    <x v="11"/>
  </r>
  <r>
    <x v="3"/>
    <n v="6141"/>
    <x v="2"/>
    <x v="11"/>
  </r>
  <r>
    <x v="0"/>
    <n v="7023"/>
    <x v="2"/>
    <x v="12"/>
  </r>
  <r>
    <x v="1"/>
    <n v="7327"/>
    <x v="2"/>
    <x v="12"/>
  </r>
  <r>
    <x v="2"/>
    <n v="6319"/>
    <x v="2"/>
    <x v="12"/>
  </r>
  <r>
    <x v="3"/>
    <n v="6557"/>
    <x v="2"/>
    <x v="12"/>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2">
  <r>
    <x v="0"/>
    <n v="6529"/>
    <x v="0"/>
    <x v="0"/>
  </r>
  <r>
    <x v="0"/>
    <n v="276"/>
    <x v="0"/>
    <x v="1"/>
  </r>
  <r>
    <x v="0"/>
    <n v="252"/>
    <x v="0"/>
    <x v="2"/>
  </r>
  <r>
    <x v="0"/>
    <n v="-977"/>
    <x v="0"/>
    <x v="3"/>
  </r>
  <r>
    <x v="0"/>
    <n v="5672"/>
    <x v="0"/>
    <x v="4"/>
  </r>
  <r>
    <x v="0"/>
    <n v="43"/>
    <x v="0"/>
    <x v="5"/>
  </r>
  <r>
    <x v="0"/>
    <n v="5512"/>
    <x v="1"/>
    <x v="0"/>
  </r>
  <r>
    <x v="0"/>
    <n v="1079"/>
    <x v="1"/>
    <x v="1"/>
  </r>
  <r>
    <x v="0"/>
    <n v="401"/>
    <x v="1"/>
    <x v="2"/>
  </r>
  <r>
    <x v="0"/>
    <n v="306"/>
    <x v="1"/>
    <x v="3"/>
  </r>
  <r>
    <x v="0"/>
    <n v="6861"/>
    <x v="1"/>
    <x v="4"/>
  </r>
  <r>
    <x v="0"/>
    <n v="479"/>
    <x v="1"/>
    <x v="5"/>
  </r>
  <r>
    <x v="0"/>
    <n v="-728"/>
    <x v="2"/>
    <x v="0"/>
  </r>
  <r>
    <x v="0"/>
    <n v="-94"/>
    <x v="2"/>
    <x v="1"/>
  </r>
  <r>
    <x v="0"/>
    <n v="7"/>
    <x v="2"/>
    <x v="2"/>
  </r>
  <r>
    <x v="0"/>
    <n v="-124"/>
    <x v="2"/>
    <x v="3"/>
  </r>
  <r>
    <x v="0"/>
    <n v="37"/>
    <x v="2"/>
    <x v="4"/>
  </r>
  <r>
    <x v="0"/>
    <n v="6"/>
    <x v="2"/>
    <x v="5"/>
  </r>
  <r>
    <x v="1"/>
    <n v="5682"/>
    <x v="0"/>
    <x v="0"/>
  </r>
  <r>
    <x v="1"/>
    <n v="242"/>
    <x v="0"/>
    <x v="1"/>
  </r>
  <r>
    <x v="1"/>
    <n v="211"/>
    <x v="0"/>
    <x v="2"/>
  </r>
  <r>
    <x v="1"/>
    <n v="184"/>
    <x v="0"/>
    <x v="3"/>
  </r>
  <r>
    <x v="1"/>
    <n v="6243"/>
    <x v="0"/>
    <x v="4"/>
  </r>
  <r>
    <x v="1"/>
    <n v="107"/>
    <x v="0"/>
    <x v="5"/>
  </r>
  <r>
    <x v="1"/>
    <n v="6031"/>
    <x v="1"/>
    <x v="0"/>
  </r>
  <r>
    <x v="1"/>
    <n v="505"/>
    <x v="1"/>
    <x v="1"/>
  </r>
  <r>
    <x v="1"/>
    <n v="259"/>
    <x v="1"/>
    <x v="2"/>
  </r>
  <r>
    <x v="1"/>
    <n v="-329"/>
    <x v="1"/>
    <x v="3"/>
  </r>
  <r>
    <x v="1"/>
    <n v="5242"/>
    <x v="1"/>
    <x v="4"/>
  </r>
  <r>
    <x v="1"/>
    <n v="292"/>
    <x v="1"/>
    <x v="5"/>
  </r>
  <r>
    <x v="1"/>
    <n v="-679"/>
    <x v="2"/>
    <x v="0"/>
  </r>
  <r>
    <x v="1"/>
    <n v="-94"/>
    <x v="2"/>
    <x v="1"/>
  </r>
  <r>
    <x v="1"/>
    <n v="8"/>
    <x v="2"/>
    <x v="2"/>
  </r>
  <r>
    <x v="1"/>
    <n v="-115"/>
    <x v="2"/>
    <x v="3"/>
  </r>
  <r>
    <x v="1"/>
    <n v="185"/>
    <x v="2"/>
    <x v="4"/>
  </r>
  <r>
    <x v="1"/>
    <n v="6"/>
    <x v="2"/>
    <x v="5"/>
  </r>
  <r>
    <x v="2"/>
    <n v="3970"/>
    <x v="0"/>
    <x v="0"/>
  </r>
  <r>
    <x v="2"/>
    <n v="265"/>
    <x v="0"/>
    <x v="1"/>
  </r>
  <r>
    <x v="2"/>
    <n v="226"/>
    <x v="0"/>
    <x v="2"/>
  </r>
  <r>
    <x v="2"/>
    <n v="33"/>
    <x v="0"/>
    <x v="3"/>
  </r>
  <r>
    <x v="2"/>
    <n v="5224"/>
    <x v="0"/>
    <x v="4"/>
  </r>
  <r>
    <x v="2"/>
    <n v="133"/>
    <x v="0"/>
    <x v="5"/>
  </r>
  <r>
    <x v="2"/>
    <n v="5592"/>
    <x v="1"/>
    <x v="0"/>
  </r>
  <r>
    <x v="2"/>
    <n v="637"/>
    <x v="1"/>
    <x v="1"/>
  </r>
  <r>
    <x v="2"/>
    <n v="252"/>
    <x v="1"/>
    <x v="2"/>
  </r>
  <r>
    <x v="2"/>
    <n v="16"/>
    <x v="1"/>
    <x v="3"/>
  </r>
  <r>
    <x v="2"/>
    <n v="4630"/>
    <x v="1"/>
    <x v="4"/>
  </r>
  <r>
    <x v="2"/>
    <n v="290"/>
    <x v="1"/>
    <x v="5"/>
  </r>
  <r>
    <x v="2"/>
    <n v="-779"/>
    <x v="2"/>
    <x v="0"/>
  </r>
  <r>
    <x v="2"/>
    <n v="-99"/>
    <x v="2"/>
    <x v="1"/>
  </r>
  <r>
    <x v="2"/>
    <n v="8"/>
    <x v="2"/>
    <x v="2"/>
  </r>
  <r>
    <x v="2"/>
    <n v="-7"/>
    <x v="2"/>
    <x v="3"/>
  </r>
  <r>
    <x v="2"/>
    <n v="466"/>
    <x v="2"/>
    <x v="4"/>
  </r>
  <r>
    <x v="2"/>
    <n v="7"/>
    <x v="2"/>
    <x v="5"/>
  </r>
  <r>
    <x v="3"/>
    <n v="3768"/>
    <x v="0"/>
    <x v="0"/>
  </r>
  <r>
    <x v="3"/>
    <n v="328"/>
    <x v="0"/>
    <x v="1"/>
  </r>
  <r>
    <x v="3"/>
    <n v="232"/>
    <x v="0"/>
    <x v="2"/>
  </r>
  <r>
    <x v="3"/>
    <n v="96"/>
    <x v="0"/>
    <x v="3"/>
  </r>
  <r>
    <x v="3"/>
    <n v="5274"/>
    <x v="0"/>
    <x v="4"/>
  </r>
  <r>
    <x v="3"/>
    <n v="228"/>
    <x v="0"/>
    <x v="5"/>
  </r>
  <r>
    <x v="3"/>
    <n v="6098"/>
    <x v="1"/>
    <x v="0"/>
  </r>
  <r>
    <x v="3"/>
    <n v="570"/>
    <x v="1"/>
    <x v="1"/>
  </r>
  <r>
    <x v="3"/>
    <n v="227"/>
    <x v="1"/>
    <x v="2"/>
  </r>
  <r>
    <x v="3"/>
    <n v="239"/>
    <x v="1"/>
    <x v="3"/>
  </r>
  <r>
    <x v="3"/>
    <n v="5131"/>
    <x v="1"/>
    <x v="4"/>
  </r>
  <r>
    <x v="3"/>
    <n v="177"/>
    <x v="1"/>
    <x v="5"/>
  </r>
  <r>
    <x v="3"/>
    <n v="-707"/>
    <x v="2"/>
    <x v="0"/>
  </r>
  <r>
    <x v="3"/>
    <n v="-105"/>
    <x v="2"/>
    <x v="1"/>
  </r>
  <r>
    <x v="3"/>
    <n v="5"/>
    <x v="2"/>
    <x v="2"/>
  </r>
  <r>
    <x v="3"/>
    <n v="-133"/>
    <x v="2"/>
    <x v="3"/>
  </r>
  <r>
    <x v="3"/>
    <n v="180"/>
    <x v="2"/>
    <x v="4"/>
  </r>
  <r>
    <x v="3"/>
    <n v="1"/>
    <x v="2"/>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FF5B65B-5015-4736-9370-5701FB13A90F}" name="TabellaPivotPlants1" cacheId="0"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chartFormat="3">
  <location ref="M2:AE12" firstHeaderRow="1" firstDataRow="2" firstDataCol="1"/>
  <pivotFields count="7">
    <pivotField showAll="0"/>
    <pivotField showAll="0"/>
    <pivotField axis="axisCol" showAll="0">
      <items count="18">
        <item x="4"/>
        <item x="15"/>
        <item x="8"/>
        <item x="12"/>
        <item x="2"/>
        <item x="9"/>
        <item x="16"/>
        <item x="0"/>
        <item x="13"/>
        <item x="1"/>
        <item x="7"/>
        <item x="14"/>
        <item x="3"/>
        <item x="10"/>
        <item x="6"/>
        <item x="11"/>
        <item x="5"/>
        <item t="default"/>
      </items>
    </pivotField>
    <pivotField showAll="0"/>
    <pivotField axis="axisRow" showAll="0">
      <items count="10">
        <item x="0"/>
        <item x="1"/>
        <item x="2"/>
        <item x="3"/>
        <item x="4"/>
        <item x="5"/>
        <item h="1" m="1" x="8"/>
        <item x="6"/>
        <item f="1" x="7"/>
        <item t="default"/>
      </items>
    </pivotField>
    <pivotField showAll="0">
      <items count="3">
        <item x="0"/>
        <item x="1"/>
        <item t="default"/>
      </items>
    </pivotField>
    <pivotField dataField="1" showAll="0"/>
  </pivotFields>
  <rowFields count="1">
    <field x="4"/>
  </rowFields>
  <rowItems count="9">
    <i>
      <x/>
    </i>
    <i>
      <x v="1"/>
    </i>
    <i>
      <x v="2"/>
    </i>
    <i>
      <x v="3"/>
    </i>
    <i>
      <x v="4"/>
    </i>
    <i>
      <x v="5"/>
    </i>
    <i>
      <x v="7"/>
    </i>
    <i>
      <x v="8"/>
    </i>
    <i t="grand">
      <x/>
    </i>
  </rowItems>
  <colFields count="1">
    <field x="2"/>
  </colFields>
  <colItems count="18">
    <i>
      <x/>
    </i>
    <i>
      <x v="1"/>
    </i>
    <i>
      <x v="2"/>
    </i>
    <i>
      <x v="3"/>
    </i>
    <i>
      <x v="4"/>
    </i>
    <i>
      <x v="5"/>
    </i>
    <i>
      <x v="6"/>
    </i>
    <i>
      <x v="7"/>
    </i>
    <i>
      <x v="8"/>
    </i>
    <i>
      <x v="9"/>
    </i>
    <i>
      <x v="10"/>
    </i>
    <i>
      <x v="11"/>
    </i>
    <i>
      <x v="12"/>
    </i>
    <i>
      <x v="13"/>
    </i>
    <i>
      <x v="14"/>
    </i>
    <i>
      <x v="15"/>
    </i>
    <i>
      <x v="16"/>
    </i>
    <i t="grand">
      <x/>
    </i>
  </colItems>
  <dataFields count="1">
    <dataField name="Somma di Capacity" fld="6" baseField="0" baseItem="0"/>
  </dataFields>
  <formats count="9">
    <format dxfId="70">
      <pivotArea type="all" dataOnly="0" outline="0" fieldPosition="0"/>
    </format>
    <format dxfId="69">
      <pivotArea outline="0" collapsedLevelsAreSubtotals="1" fieldPosition="0"/>
    </format>
    <format dxfId="68">
      <pivotArea type="origin" dataOnly="0" labelOnly="1" outline="0" fieldPosition="0"/>
    </format>
    <format dxfId="67">
      <pivotArea field="2" type="button" dataOnly="0" labelOnly="1" outline="0" axis="axisCol" fieldPosition="0"/>
    </format>
    <format dxfId="66">
      <pivotArea type="topRight" dataOnly="0" labelOnly="1" outline="0" fieldPosition="0"/>
    </format>
    <format dxfId="65">
      <pivotArea field="4" type="button" dataOnly="0" labelOnly="1" outline="0" axis="axisRow" fieldPosition="0"/>
    </format>
    <format dxfId="64">
      <pivotArea dataOnly="0" labelOnly="1" fieldPosition="0">
        <references count="1">
          <reference field="4" count="0"/>
        </references>
      </pivotArea>
    </format>
    <format dxfId="63">
      <pivotArea dataOnly="0" labelOnly="1" grandRow="1" outline="0" fieldPosition="0"/>
    </format>
    <format dxfId="62">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9BB9047-E14F-405F-8B83-AC39F00B419B}" name="TabellaPivotPlants2" cacheId="0"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chartFormat="5">
  <location ref="M46:U65" firstHeaderRow="1" firstDataRow="2" firstDataCol="1"/>
  <pivotFields count="7">
    <pivotField showAll="0"/>
    <pivotField showAll="0"/>
    <pivotField axis="axisRow" showAll="0">
      <items count="18">
        <item x="4"/>
        <item x="15"/>
        <item x="8"/>
        <item x="12"/>
        <item x="2"/>
        <item x="9"/>
        <item x="16"/>
        <item x="0"/>
        <item x="13"/>
        <item x="1"/>
        <item x="7"/>
        <item x="14"/>
        <item x="3"/>
        <item x="10"/>
        <item x="6"/>
        <item x="11"/>
        <item x="5"/>
        <item t="default"/>
      </items>
    </pivotField>
    <pivotField showAll="0"/>
    <pivotField axis="axisCol" showAll="0">
      <items count="10">
        <item h="1" f="1" x="7"/>
        <item x="0"/>
        <item x="1"/>
        <item x="2"/>
        <item x="3"/>
        <item x="4"/>
        <item h="1" m="1" x="8"/>
        <item x="5"/>
        <item x="6"/>
        <item t="default"/>
      </items>
    </pivotField>
    <pivotField showAll="0">
      <items count="3">
        <item x="1"/>
        <item x="0"/>
        <item t="default"/>
      </items>
    </pivotField>
    <pivotField dataField="1" showAll="0"/>
  </pivotFields>
  <rowFields count="1">
    <field x="2"/>
  </rowFields>
  <rowItems count="18">
    <i>
      <x/>
    </i>
    <i>
      <x v="1"/>
    </i>
    <i>
      <x v="2"/>
    </i>
    <i>
      <x v="3"/>
    </i>
    <i>
      <x v="4"/>
    </i>
    <i>
      <x v="5"/>
    </i>
    <i>
      <x v="6"/>
    </i>
    <i>
      <x v="7"/>
    </i>
    <i>
      <x v="8"/>
    </i>
    <i>
      <x v="9"/>
    </i>
    <i>
      <x v="10"/>
    </i>
    <i>
      <x v="11"/>
    </i>
    <i>
      <x v="12"/>
    </i>
    <i>
      <x v="13"/>
    </i>
    <i>
      <x v="14"/>
    </i>
    <i>
      <x v="15"/>
    </i>
    <i>
      <x v="16"/>
    </i>
    <i t="grand">
      <x/>
    </i>
  </rowItems>
  <colFields count="1">
    <field x="4"/>
  </colFields>
  <colItems count="8">
    <i>
      <x v="1"/>
    </i>
    <i>
      <x v="2"/>
    </i>
    <i>
      <x v="3"/>
    </i>
    <i>
      <x v="4"/>
    </i>
    <i>
      <x v="5"/>
    </i>
    <i>
      <x v="7"/>
    </i>
    <i>
      <x v="8"/>
    </i>
    <i t="grand">
      <x/>
    </i>
  </colItems>
  <dataFields count="1">
    <dataField name="Installed Capacity" fld="6" baseField="2" baseItem="0"/>
  </dataFields>
  <formats count="10">
    <format dxfId="80">
      <pivotArea type="all" dataOnly="0" outline="0" fieldPosition="0"/>
    </format>
    <format dxfId="79">
      <pivotArea outline="0" collapsedLevelsAreSubtotals="1" fieldPosition="0"/>
    </format>
    <format dxfId="78">
      <pivotArea type="origin" dataOnly="0" labelOnly="1" outline="0" fieldPosition="0"/>
    </format>
    <format dxfId="77">
      <pivotArea field="4" type="button" dataOnly="0" labelOnly="1" outline="0" axis="axisCol" fieldPosition="0"/>
    </format>
    <format dxfId="76">
      <pivotArea type="topRight" dataOnly="0" labelOnly="1" outline="0" fieldPosition="0"/>
    </format>
    <format dxfId="75">
      <pivotArea field="2" type="button" dataOnly="0" labelOnly="1" outline="0" axis="axisRow" fieldPosition="0"/>
    </format>
    <format dxfId="74">
      <pivotArea dataOnly="0" labelOnly="1" fieldPosition="0">
        <references count="1">
          <reference field="2" count="0"/>
        </references>
      </pivotArea>
    </format>
    <format dxfId="73">
      <pivotArea dataOnly="0" labelOnly="1" grandRow="1" outline="0" fieldPosition="0"/>
    </format>
    <format dxfId="72">
      <pivotArea dataOnly="0" labelOnly="1" fieldPosition="0">
        <references count="1">
          <reference field="4" count="0"/>
        </references>
      </pivotArea>
    </format>
    <format dxfId="71">
      <pivotArea dataOnly="0" labelOnly="1" grandCol="1" outline="0" fieldPosition="0"/>
    </format>
  </formats>
  <chartFormats count="10">
    <chartFormat chart="2" format="15" series="1">
      <pivotArea type="data" outline="0" fieldPosition="0">
        <references count="2">
          <reference field="4294967294" count="1" selected="0">
            <x v="0"/>
          </reference>
          <reference field="4" count="1" selected="0">
            <x v="5"/>
          </reference>
        </references>
      </pivotArea>
    </chartFormat>
    <chartFormat chart="2" format="16" series="1">
      <pivotArea type="data" outline="0" fieldPosition="0">
        <references count="2">
          <reference field="4294967294" count="1" selected="0">
            <x v="0"/>
          </reference>
          <reference field="4" count="1" selected="0">
            <x v="1"/>
          </reference>
        </references>
      </pivotArea>
    </chartFormat>
    <chartFormat chart="2" format="17" series="1">
      <pivotArea type="data" outline="0" fieldPosition="0">
        <references count="2">
          <reference field="4294967294" count="1" selected="0">
            <x v="0"/>
          </reference>
          <reference field="4" count="1" selected="0">
            <x v="7"/>
          </reference>
        </references>
      </pivotArea>
    </chartFormat>
    <chartFormat chart="2" format="18" series="1">
      <pivotArea type="data" outline="0" fieldPosition="0">
        <references count="2">
          <reference field="4294967294" count="1" selected="0">
            <x v="0"/>
          </reference>
          <reference field="4" count="1" selected="0">
            <x v="6"/>
          </reference>
        </references>
      </pivotArea>
    </chartFormat>
    <chartFormat chart="2" format="19" series="1">
      <pivotArea type="data" outline="0" fieldPosition="0">
        <references count="2">
          <reference field="4294967294" count="1" selected="0">
            <x v="0"/>
          </reference>
          <reference field="4" count="1" selected="0">
            <x v="2"/>
          </reference>
        </references>
      </pivotArea>
    </chartFormat>
    <chartFormat chart="2" format="20" series="1">
      <pivotArea type="data" outline="0" fieldPosition="0">
        <references count="2">
          <reference field="4294967294" count="1" selected="0">
            <x v="0"/>
          </reference>
          <reference field="4" count="1" selected="0">
            <x v="4"/>
          </reference>
        </references>
      </pivotArea>
    </chartFormat>
    <chartFormat chart="2" format="21" series="1">
      <pivotArea type="data" outline="0" fieldPosition="0">
        <references count="2">
          <reference field="4294967294" count="1" selected="0">
            <x v="0"/>
          </reference>
          <reference field="4" count="1" selected="0">
            <x v="3"/>
          </reference>
        </references>
      </pivotArea>
    </chartFormat>
    <chartFormat chart="2" format="22" series="1">
      <pivotArea type="data" outline="0" fieldPosition="0">
        <references count="1">
          <reference field="4294967294" count="1" selected="0">
            <x v="0"/>
          </reference>
        </references>
      </pivotArea>
    </chartFormat>
    <chartFormat chart="2" format="23" series="1">
      <pivotArea type="data" outline="0" fieldPosition="0">
        <references count="2">
          <reference field="4294967294" count="1" selected="0">
            <x v="0"/>
          </reference>
          <reference field="4" count="1" selected="0">
            <x v="8"/>
          </reference>
        </references>
      </pivotArea>
    </chartFormat>
    <chartFormat chart="2" format="24" series="1">
      <pivotArea type="data" outline="0" fieldPosition="0">
        <references count="2">
          <reference field="4294967294" count="1" selected="0">
            <x v="0"/>
          </reference>
          <reference field="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D877F54-A818-4590-BE70-2B1ED844900B}" name="TabellaPivotDivision1" cacheId="6"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chartFormat="7">
  <location ref="H3:L9" firstHeaderRow="1" firstDataRow="2" firstDataCol="1"/>
  <pivotFields count="4">
    <pivotField axis="axisRow" showAll="0">
      <items count="5">
        <item x="0"/>
        <item x="1"/>
        <item x="2"/>
        <item x="3"/>
        <item t="default"/>
      </items>
    </pivotField>
    <pivotField dataField="1" showAll="0"/>
    <pivotField axis="axisCol" showAll="0">
      <items count="4">
        <item x="0"/>
        <item x="1"/>
        <item x="2"/>
        <item t="default"/>
      </items>
    </pivotField>
    <pivotField multipleItemSelectionAllowed="1" showAll="0">
      <items count="8">
        <item h="1" x="4"/>
        <item h="1" x="5"/>
        <item h="1" x="2"/>
        <item h="1" x="3"/>
        <item h="1" m="1" x="6"/>
        <item h="1" x="1"/>
        <item x="0"/>
        <item t="default"/>
      </items>
    </pivotField>
  </pivotFields>
  <rowFields count="1">
    <field x="0"/>
  </rowFields>
  <rowItems count="5">
    <i>
      <x/>
    </i>
    <i>
      <x v="1"/>
    </i>
    <i>
      <x v="2"/>
    </i>
    <i>
      <x v="3"/>
    </i>
    <i t="grand">
      <x/>
    </i>
  </rowItems>
  <colFields count="1">
    <field x="2"/>
  </colFields>
  <colItems count="4">
    <i>
      <x/>
    </i>
    <i>
      <x v="1"/>
    </i>
    <i>
      <x v="2"/>
    </i>
    <i t="grand">
      <x/>
    </i>
  </colItems>
  <dataFields count="1">
    <dataField name="Million €" fld="1" baseField="0" baseItem="0"/>
  </dataFields>
  <formats count="10">
    <format dxfId="44">
      <pivotArea type="all" dataOnly="0" outline="0" fieldPosition="0"/>
    </format>
    <format dxfId="43">
      <pivotArea outline="0" collapsedLevelsAreSubtotals="1" fieldPosition="0"/>
    </format>
    <format dxfId="42">
      <pivotArea type="origin" dataOnly="0" labelOnly="1" outline="0" fieldPosition="0"/>
    </format>
    <format dxfId="41">
      <pivotArea field="2" type="button" dataOnly="0" labelOnly="1" outline="0" axis="axisCol" fieldPosition="0"/>
    </format>
    <format dxfId="40">
      <pivotArea type="topRight" dataOnly="0" labelOnly="1" outline="0" fieldPosition="0"/>
    </format>
    <format dxfId="39">
      <pivotArea field="0" type="button" dataOnly="0" labelOnly="1" outline="0" axis="axisRow" fieldPosition="0"/>
    </format>
    <format dxfId="38">
      <pivotArea dataOnly="0" labelOnly="1" fieldPosition="0">
        <references count="1">
          <reference field="0" count="0"/>
        </references>
      </pivotArea>
    </format>
    <format dxfId="37">
      <pivotArea dataOnly="0" labelOnly="1" grandRow="1" outline="0" fieldPosition="0"/>
    </format>
    <format dxfId="36">
      <pivotArea dataOnly="0" labelOnly="1" fieldPosition="0">
        <references count="1">
          <reference field="2" count="0"/>
        </references>
      </pivotArea>
    </format>
    <format dxfId="35">
      <pivotArea dataOnly="0" labelOnly="1" grandCol="1" outline="0" fieldPosition="0"/>
    </format>
  </formats>
  <chartFormats count="3">
    <chartFormat chart="3" format="6" series="1">
      <pivotArea type="data" outline="0" fieldPosition="0">
        <references count="2">
          <reference field="4294967294" count="1" selected="0">
            <x v="0"/>
          </reference>
          <reference field="2" count="1" selected="0">
            <x v="2"/>
          </reference>
        </references>
      </pivotArea>
    </chartFormat>
    <chartFormat chart="3" format="7" series="1">
      <pivotArea type="data" outline="0" fieldPosition="0">
        <references count="2">
          <reference field="4294967294" count="1" selected="0">
            <x v="0"/>
          </reference>
          <reference field="2" count="1" selected="0">
            <x v="1"/>
          </reference>
        </references>
      </pivotArea>
    </chartFormat>
    <chartFormat chart="3" format="8" series="1">
      <pivotArea type="data" outline="0" fieldPosition="0">
        <references count="2">
          <reference field="4294967294" count="1" selected="0">
            <x v="0"/>
          </reference>
          <reference field="2" count="1" selected="0">
            <x v="0"/>
          </reference>
        </references>
      </pivotArea>
    </chartFormat>
  </chart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9A95A02-146E-4F0A-AA62-5310DDED9F96}" name="TabellaPivotDivision2" cacheId="6"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chartFormat="11">
  <location ref="H17:J22" firstHeaderRow="1" firstDataRow="2" firstDataCol="1"/>
  <pivotFields count="4">
    <pivotField axis="axisCol" showAll="0">
      <items count="5">
        <item h="1" x="0"/>
        <item h="1" x="1"/>
        <item h="1" x="2"/>
        <item x="3"/>
        <item t="default"/>
      </items>
    </pivotField>
    <pivotField dataField="1" showAll="0"/>
    <pivotField axis="axisRow" showAll="0">
      <items count="4">
        <item x="0"/>
        <item x="1"/>
        <item x="2"/>
        <item t="default"/>
      </items>
    </pivotField>
    <pivotField showAll="0">
      <items count="8">
        <item h="1" x="4"/>
        <item h="1" x="5"/>
        <item h="1" x="2"/>
        <item h="1" x="3"/>
        <item h="1" m="1" x="6"/>
        <item h="1" x="1"/>
        <item x="0"/>
        <item t="default"/>
      </items>
    </pivotField>
  </pivotFields>
  <rowFields count="1">
    <field x="2"/>
  </rowFields>
  <rowItems count="4">
    <i>
      <x/>
    </i>
    <i>
      <x v="1"/>
    </i>
    <i>
      <x v="2"/>
    </i>
    <i t="grand">
      <x/>
    </i>
  </rowItems>
  <colFields count="1">
    <field x="0"/>
  </colFields>
  <colItems count="2">
    <i>
      <x v="3"/>
    </i>
    <i t="grand">
      <x/>
    </i>
  </colItems>
  <dataFields count="1">
    <dataField name="Somma di Amount" fld="1" baseField="0" baseItem="0"/>
  </dataFields>
  <chartFormats count="16">
    <chartFormat chart="7" format="32" series="1">
      <pivotArea type="data" outline="0" fieldPosition="0">
        <references count="2">
          <reference field="4294967294" count="1" selected="0">
            <x v="0"/>
          </reference>
          <reference field="0" count="1" selected="0">
            <x v="0"/>
          </reference>
        </references>
      </pivotArea>
    </chartFormat>
    <chartFormat chart="7" format="33">
      <pivotArea type="data" outline="0" fieldPosition="0">
        <references count="3">
          <reference field="4294967294" count="1" selected="0">
            <x v="0"/>
          </reference>
          <reference field="0" count="1" selected="0">
            <x v="0"/>
          </reference>
          <reference field="2" count="1" selected="0">
            <x v="2"/>
          </reference>
        </references>
      </pivotArea>
    </chartFormat>
    <chartFormat chart="7" format="34">
      <pivotArea type="data" outline="0" fieldPosition="0">
        <references count="3">
          <reference field="4294967294" count="1" selected="0">
            <x v="0"/>
          </reference>
          <reference field="0" count="1" selected="0">
            <x v="0"/>
          </reference>
          <reference field="2" count="1" selected="0">
            <x v="1"/>
          </reference>
        </references>
      </pivotArea>
    </chartFormat>
    <chartFormat chart="7" format="35">
      <pivotArea type="data" outline="0" fieldPosition="0">
        <references count="3">
          <reference field="4294967294" count="1" selected="0">
            <x v="0"/>
          </reference>
          <reference field="0" count="1" selected="0">
            <x v="0"/>
          </reference>
          <reference field="2" count="1" selected="0">
            <x v="0"/>
          </reference>
        </references>
      </pivotArea>
    </chartFormat>
    <chartFormat chart="7" format="36" series="1">
      <pivotArea type="data" outline="0" fieldPosition="0">
        <references count="2">
          <reference field="4294967294" count="1" selected="0">
            <x v="0"/>
          </reference>
          <reference field="0" count="1" selected="0">
            <x v="1"/>
          </reference>
        </references>
      </pivotArea>
    </chartFormat>
    <chartFormat chart="7" format="37">
      <pivotArea type="data" outline="0" fieldPosition="0">
        <references count="3">
          <reference field="4294967294" count="1" selected="0">
            <x v="0"/>
          </reference>
          <reference field="0" count="1" selected="0">
            <x v="1"/>
          </reference>
          <reference field="2" count="1" selected="0">
            <x v="2"/>
          </reference>
        </references>
      </pivotArea>
    </chartFormat>
    <chartFormat chart="7" format="38">
      <pivotArea type="data" outline="0" fieldPosition="0">
        <references count="3">
          <reference field="4294967294" count="1" selected="0">
            <x v="0"/>
          </reference>
          <reference field="0" count="1" selected="0">
            <x v="1"/>
          </reference>
          <reference field="2" count="1" selected="0">
            <x v="1"/>
          </reference>
        </references>
      </pivotArea>
    </chartFormat>
    <chartFormat chart="7" format="39">
      <pivotArea type="data" outline="0" fieldPosition="0">
        <references count="3">
          <reference field="4294967294" count="1" selected="0">
            <x v="0"/>
          </reference>
          <reference field="0" count="1" selected="0">
            <x v="1"/>
          </reference>
          <reference field="2" count="1" selected="0">
            <x v="0"/>
          </reference>
        </references>
      </pivotArea>
    </chartFormat>
    <chartFormat chart="7" format="40" series="1">
      <pivotArea type="data" outline="0" fieldPosition="0">
        <references count="2">
          <reference field="4294967294" count="1" selected="0">
            <x v="0"/>
          </reference>
          <reference field="0" count="1" selected="0">
            <x v="2"/>
          </reference>
        </references>
      </pivotArea>
    </chartFormat>
    <chartFormat chart="7" format="41">
      <pivotArea type="data" outline="0" fieldPosition="0">
        <references count="3">
          <reference field="4294967294" count="1" selected="0">
            <x v="0"/>
          </reference>
          <reference field="0" count="1" selected="0">
            <x v="2"/>
          </reference>
          <reference field="2" count="1" selected="0">
            <x v="2"/>
          </reference>
        </references>
      </pivotArea>
    </chartFormat>
    <chartFormat chart="7" format="42">
      <pivotArea type="data" outline="0" fieldPosition="0">
        <references count="3">
          <reference field="4294967294" count="1" selected="0">
            <x v="0"/>
          </reference>
          <reference field="0" count="1" selected="0">
            <x v="2"/>
          </reference>
          <reference field="2" count="1" selected="0">
            <x v="1"/>
          </reference>
        </references>
      </pivotArea>
    </chartFormat>
    <chartFormat chart="7" format="43">
      <pivotArea type="data" outline="0" fieldPosition="0">
        <references count="3">
          <reference field="4294967294" count="1" selected="0">
            <x v="0"/>
          </reference>
          <reference field="0" count="1" selected="0">
            <x v="2"/>
          </reference>
          <reference field="2" count="1" selected="0">
            <x v="0"/>
          </reference>
        </references>
      </pivotArea>
    </chartFormat>
    <chartFormat chart="7" format="44" series="1">
      <pivotArea type="data" outline="0" fieldPosition="0">
        <references count="2">
          <reference field="4294967294" count="1" selected="0">
            <x v="0"/>
          </reference>
          <reference field="0" count="1" selected="0">
            <x v="3"/>
          </reference>
        </references>
      </pivotArea>
    </chartFormat>
    <chartFormat chart="7" format="45">
      <pivotArea type="data" outline="0" fieldPosition="0">
        <references count="3">
          <reference field="4294967294" count="1" selected="0">
            <x v="0"/>
          </reference>
          <reference field="0" count="1" selected="0">
            <x v="3"/>
          </reference>
          <reference field="2" count="1" selected="0">
            <x v="2"/>
          </reference>
        </references>
      </pivotArea>
    </chartFormat>
    <chartFormat chart="7" format="46">
      <pivotArea type="data" outline="0" fieldPosition="0">
        <references count="3">
          <reference field="4294967294" count="1" selected="0">
            <x v="0"/>
          </reference>
          <reference field="0" count="1" selected="0">
            <x v="3"/>
          </reference>
          <reference field="2" count="1" selected="0">
            <x v="1"/>
          </reference>
        </references>
      </pivotArea>
    </chartFormat>
    <chartFormat chart="7" format="47">
      <pivotArea type="data" outline="0" fieldPosition="0">
        <references count="3">
          <reference field="4294967294" count="1" selected="0">
            <x v="0"/>
          </reference>
          <reference field="0" count="1" selected="0">
            <x v="3"/>
          </reference>
          <reference field="2" count="1" selected="0">
            <x v="0"/>
          </reference>
        </references>
      </pivotArea>
    </chartFormat>
  </chart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D88E0731-D61B-4160-9E85-CF0D712AFF9E}" name="TabellaPivotVolumes2" cacheId="4"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chartFormat="4">
  <location ref="H41:N47" firstHeaderRow="1" firstDataRow="2" firstDataCol="1" rowPageCount="1" colPageCount="1"/>
  <pivotFields count="5">
    <pivotField axis="axisRow" showAll="0">
      <items count="5">
        <item x="0"/>
        <item x="1"/>
        <item x="2"/>
        <item x="3"/>
        <item t="default"/>
      </items>
    </pivotField>
    <pivotField dataField="1" showAll="0"/>
    <pivotField axis="axisPage" showAll="0">
      <items count="3">
        <item x="0"/>
        <item x="1"/>
        <item t="default"/>
      </items>
    </pivotField>
    <pivotField axis="axisCol" showAll="0">
      <items count="11">
        <item x="0"/>
        <item x="1"/>
        <item x="2"/>
        <item x="3"/>
        <item x="4"/>
        <item x="5"/>
        <item x="6"/>
        <item x="7"/>
        <item x="8"/>
        <item x="9"/>
        <item t="default"/>
      </items>
    </pivotField>
    <pivotField showAll="0"/>
  </pivotFields>
  <rowFields count="1">
    <field x="0"/>
  </rowFields>
  <rowItems count="5">
    <i>
      <x/>
    </i>
    <i>
      <x v="1"/>
    </i>
    <i>
      <x v="2"/>
    </i>
    <i>
      <x v="3"/>
    </i>
    <i t="grand">
      <x/>
    </i>
  </rowItems>
  <colFields count="1">
    <field x="3"/>
  </colFields>
  <colItems count="6">
    <i>
      <x/>
    </i>
    <i>
      <x v="1"/>
    </i>
    <i>
      <x v="2"/>
    </i>
    <i>
      <x v="3"/>
    </i>
    <i>
      <x v="4"/>
    </i>
    <i t="grand">
      <x/>
    </i>
  </colItems>
  <pageFields count="1">
    <pageField fld="2" item="0" hier="-1"/>
  </pageFields>
  <dataFields count="1">
    <dataField name="Somma di mln cm" fld="1" baseField="0" baseItem="0"/>
  </dataFields>
  <chartFormats count="20">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0" format="2" series="1">
      <pivotArea type="data" outline="0" fieldPosition="0">
        <references count="2">
          <reference field="4294967294" count="1" selected="0">
            <x v="0"/>
          </reference>
          <reference field="3" count="1" selected="0">
            <x v="2"/>
          </reference>
        </references>
      </pivotArea>
    </chartFormat>
    <chartFormat chart="0" format="3" series="1">
      <pivotArea type="data" outline="0" fieldPosition="0">
        <references count="2">
          <reference field="4294967294" count="1" selected="0">
            <x v="0"/>
          </reference>
          <reference field="3" count="1" selected="0">
            <x v="3"/>
          </reference>
        </references>
      </pivotArea>
    </chartFormat>
    <chartFormat chart="0" format="4" series="1">
      <pivotArea type="data" outline="0" fieldPosition="0">
        <references count="2">
          <reference field="4294967294" count="1" selected="0">
            <x v="0"/>
          </reference>
          <reference field="3" count="1" selected="0">
            <x v="4"/>
          </reference>
        </references>
      </pivotArea>
    </chartFormat>
    <chartFormat chart="0" format="5" series="1">
      <pivotArea type="data" outline="0" fieldPosition="0">
        <references count="2">
          <reference field="4294967294" count="1" selected="0">
            <x v="0"/>
          </reference>
          <reference field="3" count="1" selected="0">
            <x v="5"/>
          </reference>
        </references>
      </pivotArea>
    </chartFormat>
    <chartFormat chart="0" format="6" series="1">
      <pivotArea type="data" outline="0" fieldPosition="0">
        <references count="2">
          <reference field="4294967294" count="1" selected="0">
            <x v="0"/>
          </reference>
          <reference field="3" count="1" selected="0">
            <x v="6"/>
          </reference>
        </references>
      </pivotArea>
    </chartFormat>
    <chartFormat chart="0" format="7" series="1">
      <pivotArea type="data" outline="0" fieldPosition="0">
        <references count="2">
          <reference field="4294967294" count="1" selected="0">
            <x v="0"/>
          </reference>
          <reference field="3" count="1" selected="0">
            <x v="7"/>
          </reference>
        </references>
      </pivotArea>
    </chartFormat>
    <chartFormat chart="0" format="8" series="1">
      <pivotArea type="data" outline="0" fieldPosition="0">
        <references count="2">
          <reference field="4294967294" count="1" selected="0">
            <x v="0"/>
          </reference>
          <reference field="3" count="1" selected="0">
            <x v="8"/>
          </reference>
        </references>
      </pivotArea>
    </chartFormat>
    <chartFormat chart="0" format="9" series="1">
      <pivotArea type="data" outline="0" fieldPosition="0">
        <references count="2">
          <reference field="4294967294" count="1" selected="0">
            <x v="0"/>
          </reference>
          <reference field="3" count="1" selected="0">
            <x v="9"/>
          </reference>
        </references>
      </pivotArea>
    </chartFormat>
    <chartFormat chart="3" format="15" series="1">
      <pivotArea type="data" outline="0" fieldPosition="0">
        <references count="2">
          <reference field="4294967294" count="1" selected="0">
            <x v="0"/>
          </reference>
          <reference field="3" count="1" selected="0">
            <x v="0"/>
          </reference>
        </references>
      </pivotArea>
    </chartFormat>
    <chartFormat chart="3" format="16" series="1">
      <pivotArea type="data" outline="0" fieldPosition="0">
        <references count="2">
          <reference field="4294967294" count="1" selected="0">
            <x v="0"/>
          </reference>
          <reference field="3" count="1" selected="0">
            <x v="1"/>
          </reference>
        </references>
      </pivotArea>
    </chartFormat>
    <chartFormat chart="3" format="17" series="1">
      <pivotArea type="data" outline="0" fieldPosition="0">
        <references count="2">
          <reference field="4294967294" count="1" selected="0">
            <x v="0"/>
          </reference>
          <reference field="3" count="1" selected="0">
            <x v="2"/>
          </reference>
        </references>
      </pivotArea>
    </chartFormat>
    <chartFormat chart="3" format="18" series="1">
      <pivotArea type="data" outline="0" fieldPosition="0">
        <references count="2">
          <reference field="4294967294" count="1" selected="0">
            <x v="0"/>
          </reference>
          <reference field="3" count="1" selected="0">
            <x v="3"/>
          </reference>
        </references>
      </pivotArea>
    </chartFormat>
    <chartFormat chart="3" format="19" series="1">
      <pivotArea type="data" outline="0" fieldPosition="0">
        <references count="2">
          <reference field="4294967294" count="1" selected="0">
            <x v="0"/>
          </reference>
          <reference field="3" count="1" selected="0">
            <x v="4"/>
          </reference>
        </references>
      </pivotArea>
    </chartFormat>
    <chartFormat chart="3" format="20" series="1">
      <pivotArea type="data" outline="0" fieldPosition="0">
        <references count="2">
          <reference field="4294967294" count="1" selected="0">
            <x v="0"/>
          </reference>
          <reference field="3" count="1" selected="0">
            <x v="5"/>
          </reference>
        </references>
      </pivotArea>
    </chartFormat>
    <chartFormat chart="3" format="21" series="1">
      <pivotArea type="data" outline="0" fieldPosition="0">
        <references count="2">
          <reference field="4294967294" count="1" selected="0">
            <x v="0"/>
          </reference>
          <reference field="3" count="1" selected="0">
            <x v="6"/>
          </reference>
        </references>
      </pivotArea>
    </chartFormat>
    <chartFormat chart="3" format="22" series="1">
      <pivotArea type="data" outline="0" fieldPosition="0">
        <references count="2">
          <reference field="4294967294" count="1" selected="0">
            <x v="0"/>
          </reference>
          <reference field="3" count="1" selected="0">
            <x v="7"/>
          </reference>
        </references>
      </pivotArea>
    </chartFormat>
    <chartFormat chart="3" format="23" series="1">
      <pivotArea type="data" outline="0" fieldPosition="0">
        <references count="2">
          <reference field="4294967294" count="1" selected="0">
            <x v="0"/>
          </reference>
          <reference field="3" count="1" selected="0">
            <x v="8"/>
          </reference>
        </references>
      </pivotArea>
    </chartFormat>
    <chartFormat chart="3" format="24" series="1">
      <pivotArea type="data" outline="0" fieldPosition="0">
        <references count="2">
          <reference field="4294967294" count="1" selected="0">
            <x v="0"/>
          </reference>
          <reference field="3" count="1" selected="0">
            <x v="9"/>
          </reference>
        </references>
      </pivotArea>
    </chartFormat>
  </chart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FB665C12-F579-4E7A-91AC-264102FCC086}" name="TabellaPivotVolumes1" cacheId="3"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chartFormat="3">
  <location ref="H5:M11" firstHeaderRow="1" firstDataRow="2" firstDataCol="1" rowPageCount="1" colPageCount="1"/>
  <pivotFields count="5">
    <pivotField axis="axisRow" showAll="0">
      <items count="5">
        <item x="0"/>
        <item x="1"/>
        <item x="2"/>
        <item x="3"/>
        <item t="default"/>
      </items>
    </pivotField>
    <pivotField dataField="1" showAll="0"/>
    <pivotField axis="axisPage" showAll="0">
      <items count="3">
        <item x="0"/>
        <item x="1"/>
        <item t="default"/>
      </items>
    </pivotField>
    <pivotField axis="axisCol" showAll="0">
      <items count="7">
        <item x="0"/>
        <item x="1"/>
        <item x="2"/>
        <item x="3"/>
        <item x="4"/>
        <item x="5"/>
        <item t="default"/>
      </items>
    </pivotField>
    <pivotField showAll="0"/>
  </pivotFields>
  <rowFields count="1">
    <field x="0"/>
  </rowFields>
  <rowItems count="5">
    <i>
      <x/>
    </i>
    <i>
      <x v="1"/>
    </i>
    <i>
      <x v="2"/>
    </i>
    <i>
      <x v="3"/>
    </i>
    <i t="grand">
      <x/>
    </i>
  </rowItems>
  <colFields count="1">
    <field x="3"/>
  </colFields>
  <colItems count="5">
    <i>
      <x/>
    </i>
    <i>
      <x v="1"/>
    </i>
    <i>
      <x v="2"/>
    </i>
    <i>
      <x v="3"/>
    </i>
    <i t="grand">
      <x/>
    </i>
  </colItems>
  <pageFields count="1">
    <pageField fld="2" item="0" hier="-1"/>
  </pageFields>
  <dataFields count="1">
    <dataField name="Somma di GWh" fld="1" baseField="0" baseItem="0"/>
  </dataFields>
  <chartFormats count="12">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0" format="2" series="1">
      <pivotArea type="data" outline="0" fieldPosition="0">
        <references count="2">
          <reference field="4294967294" count="1" selected="0">
            <x v="0"/>
          </reference>
          <reference field="3" count="1" selected="0">
            <x v="2"/>
          </reference>
        </references>
      </pivotArea>
    </chartFormat>
    <chartFormat chart="0" format="3" series="1">
      <pivotArea type="data" outline="0" fieldPosition="0">
        <references count="2">
          <reference field="4294967294" count="1" selected="0">
            <x v="0"/>
          </reference>
          <reference field="3" count="1" selected="0">
            <x v="3"/>
          </reference>
        </references>
      </pivotArea>
    </chartFormat>
    <chartFormat chart="2" format="8" series="1">
      <pivotArea type="data" outline="0" fieldPosition="0">
        <references count="2">
          <reference field="4294967294" count="1" selected="0">
            <x v="0"/>
          </reference>
          <reference field="3" count="1" selected="0">
            <x v="0"/>
          </reference>
        </references>
      </pivotArea>
    </chartFormat>
    <chartFormat chart="2" format="9" series="1">
      <pivotArea type="data" outline="0" fieldPosition="0">
        <references count="2">
          <reference field="4294967294" count="1" selected="0">
            <x v="0"/>
          </reference>
          <reference field="3" count="1" selected="0">
            <x v="1"/>
          </reference>
        </references>
      </pivotArea>
    </chartFormat>
    <chartFormat chart="2" format="10" series="1">
      <pivotArea type="data" outline="0" fieldPosition="0">
        <references count="2">
          <reference field="4294967294" count="1" selected="0">
            <x v="0"/>
          </reference>
          <reference field="3" count="1" selected="0">
            <x v="2"/>
          </reference>
        </references>
      </pivotArea>
    </chartFormat>
    <chartFormat chart="2" format="11" series="1">
      <pivotArea type="data" outline="0" fieldPosition="0">
        <references count="2">
          <reference field="4294967294" count="1" selected="0">
            <x v="0"/>
          </reference>
          <reference field="3" count="1" selected="0">
            <x v="3"/>
          </reference>
        </references>
      </pivotArea>
    </chartFormat>
    <chartFormat chart="2" format="12" series="1">
      <pivotArea type="data" outline="0" fieldPosition="0">
        <references count="2">
          <reference field="4294967294" count="1" selected="0">
            <x v="0"/>
          </reference>
          <reference field="3" count="1" selected="0">
            <x v="4"/>
          </reference>
        </references>
      </pivotArea>
    </chartFormat>
    <chartFormat chart="2" format="13" series="1">
      <pivotArea type="data" outline="0" fieldPosition="0">
        <references count="2">
          <reference field="4294967294" count="1" selected="0">
            <x v="0"/>
          </reference>
          <reference field="3" count="1" selected="0">
            <x v="5"/>
          </reference>
        </references>
      </pivotArea>
    </chartFormat>
    <chartFormat chart="0" format="4" series="1">
      <pivotArea type="data" outline="0" fieldPosition="0">
        <references count="2">
          <reference field="4294967294" count="1" selected="0">
            <x v="0"/>
          </reference>
          <reference field="3" count="1" selected="0">
            <x v="4"/>
          </reference>
        </references>
      </pivotArea>
    </chartFormat>
    <chartFormat chart="0" format="5" series="1">
      <pivotArea type="data" outline="0" fieldPosition="0">
        <references count="2">
          <reference field="4294967294" count="1" selected="0">
            <x v="0"/>
          </reference>
          <reference field="3" count="1" selected="0">
            <x v="5"/>
          </reference>
        </references>
      </pivotArea>
    </chartFormat>
  </chart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D0823B9E-145C-4E9C-9960-E309FE5B3656}" name="TabellaPivotCustomers" cacheId="2"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chartFormat="3">
  <location ref="J44:S51" firstHeaderRow="1" firstDataRow="3" firstDataCol="1"/>
  <pivotFields count="5">
    <pivotField axis="axisRow" showAll="0">
      <items count="5">
        <item x="0"/>
        <item x="1"/>
        <item x="2"/>
        <item x="3"/>
        <item t="default"/>
      </items>
    </pivotField>
    <pivotField dataField="1" showAll="0"/>
    <pivotField axis="axisCol" showAll="0">
      <items count="3">
        <item x="1"/>
        <item x="0"/>
        <item t="default"/>
      </items>
    </pivotField>
    <pivotField axis="axisCol" showAll="0">
      <items count="7">
        <item x="3"/>
        <item x="4"/>
        <item x="5"/>
        <item x="0"/>
        <item x="1"/>
        <item x="2"/>
        <item t="default"/>
      </items>
    </pivotField>
    <pivotField showAll="0">
      <items count="3">
        <item x="1"/>
        <item h="1" x="0"/>
        <item t="default"/>
      </items>
    </pivotField>
  </pivotFields>
  <rowFields count="1">
    <field x="0"/>
  </rowFields>
  <rowItems count="5">
    <i>
      <x/>
    </i>
    <i>
      <x v="1"/>
    </i>
    <i>
      <x v="2"/>
    </i>
    <i>
      <x v="3"/>
    </i>
    <i t="grand">
      <x/>
    </i>
  </rowItems>
  <colFields count="2">
    <field x="2"/>
    <field x="3"/>
  </colFields>
  <colItems count="9">
    <i>
      <x/>
      <x/>
    </i>
    <i r="1">
      <x v="1"/>
    </i>
    <i r="1">
      <x v="2"/>
    </i>
    <i t="default">
      <x/>
    </i>
    <i>
      <x v="1"/>
      <x v="3"/>
    </i>
    <i r="1">
      <x v="4"/>
    </i>
    <i r="1">
      <x v="5"/>
    </i>
    <i t="default">
      <x v="1"/>
    </i>
    <i t="grand">
      <x/>
    </i>
  </colItems>
  <dataFields count="1">
    <dataField name="Somma di Value" fld="1" baseField="0" baseItem="0"/>
  </dataFields>
  <chartFormats count="6">
    <chartFormat chart="2" format="12" series="1">
      <pivotArea type="data" outline="0" fieldPosition="0">
        <references count="3">
          <reference field="4294967294" count="1" selected="0">
            <x v="0"/>
          </reference>
          <reference field="2" count="1" selected="0">
            <x v="0"/>
          </reference>
          <reference field="3" count="1" selected="0">
            <x v="0"/>
          </reference>
        </references>
      </pivotArea>
    </chartFormat>
    <chartFormat chart="2" format="13" series="1">
      <pivotArea type="data" outline="0" fieldPosition="0">
        <references count="3">
          <reference field="4294967294" count="1" selected="0">
            <x v="0"/>
          </reference>
          <reference field="2" count="1" selected="0">
            <x v="0"/>
          </reference>
          <reference field="3" count="1" selected="0">
            <x v="1"/>
          </reference>
        </references>
      </pivotArea>
    </chartFormat>
    <chartFormat chart="2" format="14" series="1">
      <pivotArea type="data" outline="0" fieldPosition="0">
        <references count="3">
          <reference field="4294967294" count="1" selected="0">
            <x v="0"/>
          </reference>
          <reference field="2" count="1" selected="0">
            <x v="0"/>
          </reference>
          <reference field="3" count="1" selected="0">
            <x v="2"/>
          </reference>
        </references>
      </pivotArea>
    </chartFormat>
    <chartFormat chart="2" format="15" series="1">
      <pivotArea type="data" outline="0" fieldPosition="0">
        <references count="3">
          <reference field="4294967294" count="1" selected="0">
            <x v="0"/>
          </reference>
          <reference field="2" count="1" selected="0">
            <x v="1"/>
          </reference>
          <reference field="3" count="1" selected="0">
            <x v="3"/>
          </reference>
        </references>
      </pivotArea>
    </chartFormat>
    <chartFormat chart="2" format="16" series="1">
      <pivotArea type="data" outline="0" fieldPosition="0">
        <references count="3">
          <reference field="4294967294" count="1" selected="0">
            <x v="0"/>
          </reference>
          <reference field="2" count="1" selected="0">
            <x v="1"/>
          </reference>
          <reference field="3" count="1" selected="0">
            <x v="4"/>
          </reference>
        </references>
      </pivotArea>
    </chartFormat>
    <chartFormat chart="2" format="17" series="1">
      <pivotArea type="data" outline="0" fieldPosition="0">
        <references count="3">
          <reference field="4294967294" count="1" selected="0">
            <x v="0"/>
          </reference>
          <reference field="2" count="1" selected="0">
            <x v="1"/>
          </reference>
          <reference field="3"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E12C9E0A-C3FD-4019-AC49-5F42E00FD3A4}" name="TabellaPivotEmissions" cacheId="1"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chartFormat="7">
  <location ref="J2:O8" firstHeaderRow="1" firstDataRow="2" firstDataCol="1"/>
  <pivotFields count="4">
    <pivotField axis="axisRow" showAll="0">
      <items count="5">
        <item x="0"/>
        <item x="1"/>
        <item x="2"/>
        <item x="3"/>
        <item t="default"/>
      </items>
    </pivotField>
    <pivotField dataField="1" showAll="0"/>
    <pivotField axis="axisCol" showAll="0">
      <items count="12">
        <item m="1" x="10"/>
        <item m="1" x="9"/>
        <item x="0"/>
        <item x="1"/>
        <item x="2"/>
        <item x="3"/>
        <item x="4"/>
        <item x="5"/>
        <item x="6"/>
        <item x="7"/>
        <item x="8"/>
        <item t="default"/>
      </items>
    </pivotField>
    <pivotField showAll="0">
      <items count="4">
        <item x="1"/>
        <item h="1" x="2"/>
        <item h="1" x="0"/>
        <item t="default"/>
      </items>
    </pivotField>
  </pivotFields>
  <rowFields count="1">
    <field x="0"/>
  </rowFields>
  <rowItems count="5">
    <i>
      <x/>
    </i>
    <i>
      <x v="1"/>
    </i>
    <i>
      <x v="2"/>
    </i>
    <i>
      <x v="3"/>
    </i>
    <i t="grand">
      <x/>
    </i>
  </rowItems>
  <colFields count="1">
    <field x="2"/>
  </colFields>
  <colItems count="5">
    <i>
      <x v="4"/>
    </i>
    <i>
      <x v="5"/>
    </i>
    <i>
      <x v="6"/>
    </i>
    <i>
      <x v="7"/>
    </i>
    <i t="grand">
      <x/>
    </i>
  </colItems>
  <dataFields count="1">
    <dataField name="Somma di Value" fld="1" baseField="0" baseItem="0"/>
  </dataFields>
  <chartFormats count="34">
    <chartFormat chart="1" format="0" series="1">
      <pivotArea type="data" outline="0" fieldPosition="0">
        <references count="2">
          <reference field="4294967294" count="1" selected="0">
            <x v="0"/>
          </reference>
          <reference field="0" count="1" selected="0">
            <x v="0"/>
          </reference>
        </references>
      </pivotArea>
    </chartFormat>
    <chartFormat chart="1" format="1" series="1">
      <pivotArea type="data" outline="0" fieldPosition="0">
        <references count="2">
          <reference field="4294967294" count="1" selected="0">
            <x v="0"/>
          </reference>
          <reference field="0" count="1" selected="0">
            <x v="1"/>
          </reference>
        </references>
      </pivotArea>
    </chartFormat>
    <chartFormat chart="1" format="2" series="1">
      <pivotArea type="data" outline="0" fieldPosition="0">
        <references count="2">
          <reference field="4294967294" count="1" selected="0">
            <x v="0"/>
          </reference>
          <reference field="0" count="1" selected="0">
            <x v="2"/>
          </reference>
        </references>
      </pivotArea>
    </chartFormat>
    <chartFormat chart="1" format="3" series="1">
      <pivotArea type="data" outline="0" fieldPosition="0">
        <references count="2">
          <reference field="4294967294" count="1" selected="0">
            <x v="0"/>
          </reference>
          <reference field="0" count="1" selected="0">
            <x v="3"/>
          </reference>
        </references>
      </pivotArea>
    </chartFormat>
    <chartFormat chart="2" format="0" series="1">
      <pivotArea type="data" outline="0" fieldPosition="0">
        <references count="2">
          <reference field="4294967294" count="1" selected="0">
            <x v="0"/>
          </reference>
          <reference field="0" count="1" selected="0">
            <x v="0"/>
          </reference>
        </references>
      </pivotArea>
    </chartFormat>
    <chartFormat chart="2" format="1" series="1">
      <pivotArea type="data" outline="0" fieldPosition="0">
        <references count="2">
          <reference field="4294967294" count="1" selected="0">
            <x v="0"/>
          </reference>
          <reference field="0" count="1" selected="0">
            <x v="1"/>
          </reference>
        </references>
      </pivotArea>
    </chartFormat>
    <chartFormat chart="2" format="2" series="1">
      <pivotArea type="data" outline="0" fieldPosition="0">
        <references count="2">
          <reference field="4294967294" count="1" selected="0">
            <x v="0"/>
          </reference>
          <reference field="0" count="1" selected="0">
            <x v="2"/>
          </reference>
        </references>
      </pivotArea>
    </chartFormat>
    <chartFormat chart="2" format="3" series="1">
      <pivotArea type="data" outline="0" fieldPosition="0">
        <references count="2">
          <reference field="4294967294" count="1" selected="0">
            <x v="0"/>
          </reference>
          <reference field="0" count="1" selected="0">
            <x v="3"/>
          </reference>
        </references>
      </pivotArea>
    </chartFormat>
    <chartFormat chart="2" format="10" series="1">
      <pivotArea type="data" outline="0" fieldPosition="0">
        <references count="1">
          <reference field="4294967294" count="1" selected="0">
            <x v="0"/>
          </reference>
        </references>
      </pivotArea>
    </chartFormat>
    <chartFormat chart="1" format="10" series="1">
      <pivotArea type="data" outline="0" fieldPosition="0">
        <references count="1">
          <reference field="4294967294" count="1" selected="0">
            <x v="0"/>
          </reference>
        </references>
      </pivotArea>
    </chartFormat>
    <chartFormat chart="2" format="11" series="1">
      <pivotArea type="data" outline="0" fieldPosition="0">
        <references count="2">
          <reference field="4294967294" count="1" selected="0">
            <x v="0"/>
          </reference>
          <reference field="2" count="1" selected="0">
            <x v="6"/>
          </reference>
        </references>
      </pivotArea>
    </chartFormat>
    <chartFormat chart="2" format="12" series="1">
      <pivotArea type="data" outline="0" fieldPosition="0">
        <references count="2">
          <reference field="4294967294" count="1" selected="0">
            <x v="0"/>
          </reference>
          <reference field="2" count="1" selected="0">
            <x v="7"/>
          </reference>
        </references>
      </pivotArea>
    </chartFormat>
    <chartFormat chart="1" format="16" series="1">
      <pivotArea type="data" outline="0" fieldPosition="0">
        <references count="2">
          <reference field="4294967294" count="1" selected="0">
            <x v="0"/>
          </reference>
          <reference field="2" count="1" selected="0">
            <x v="6"/>
          </reference>
        </references>
      </pivotArea>
    </chartFormat>
    <chartFormat chart="1" format="17" series="1">
      <pivotArea type="data" outline="0" fieldPosition="0">
        <references count="2">
          <reference field="4294967294" count="1" selected="0">
            <x v="0"/>
          </reference>
          <reference field="2" count="1" selected="0">
            <x v="7"/>
          </reference>
        </references>
      </pivotArea>
    </chartFormat>
    <chartFormat chart="2" format="13" series="1">
      <pivotArea type="data" outline="0" fieldPosition="0">
        <references count="2">
          <reference field="4294967294" count="1" selected="0">
            <x v="0"/>
          </reference>
          <reference field="2" count="1" selected="0">
            <x v="4"/>
          </reference>
        </references>
      </pivotArea>
    </chartFormat>
    <chartFormat chart="2" format="14" series="1">
      <pivotArea type="data" outline="0" fieldPosition="0">
        <references count="2">
          <reference field="4294967294" count="1" selected="0">
            <x v="0"/>
          </reference>
          <reference field="2" count="1" selected="0">
            <x v="5"/>
          </reference>
        </references>
      </pivotArea>
    </chartFormat>
    <chartFormat chart="6" format="10" series="1">
      <pivotArea type="data" outline="0" fieldPosition="0">
        <references count="2">
          <reference field="4294967294" count="1" selected="0">
            <x v="0"/>
          </reference>
          <reference field="2" count="1" selected="0">
            <x v="4"/>
          </reference>
        </references>
      </pivotArea>
    </chartFormat>
    <chartFormat chart="6" format="11" series="1">
      <pivotArea type="data" outline="0" fieldPosition="0">
        <references count="2">
          <reference field="4294967294" count="1" selected="0">
            <x v="0"/>
          </reference>
          <reference field="2" count="1" selected="0">
            <x v="5"/>
          </reference>
        </references>
      </pivotArea>
    </chartFormat>
    <chartFormat chart="6" format="12" series="1">
      <pivotArea type="data" outline="0" fieldPosition="0">
        <references count="2">
          <reference field="4294967294" count="1" selected="0">
            <x v="0"/>
          </reference>
          <reference field="2" count="1" selected="0">
            <x v="6"/>
          </reference>
        </references>
      </pivotArea>
    </chartFormat>
    <chartFormat chart="6" format="13" series="1">
      <pivotArea type="data" outline="0" fieldPosition="0">
        <references count="2">
          <reference field="4294967294" count="1" selected="0">
            <x v="0"/>
          </reference>
          <reference field="2" count="1" selected="0">
            <x v="7"/>
          </reference>
        </references>
      </pivotArea>
    </chartFormat>
    <chartFormat chart="6" format="14" series="1">
      <pivotArea type="data" outline="0" fieldPosition="0">
        <references count="2">
          <reference field="4294967294" count="1" selected="0">
            <x v="0"/>
          </reference>
          <reference field="2" count="1" selected="0">
            <x v="2"/>
          </reference>
        </references>
      </pivotArea>
    </chartFormat>
    <chartFormat chart="6" format="15" series="1">
      <pivotArea type="data" outline="0" fieldPosition="0">
        <references count="2">
          <reference field="4294967294" count="1" selected="0">
            <x v="0"/>
          </reference>
          <reference field="2" count="1" selected="0">
            <x v="3"/>
          </reference>
        </references>
      </pivotArea>
    </chartFormat>
    <chartFormat chart="6" format="16" series="1">
      <pivotArea type="data" outline="0" fieldPosition="0">
        <references count="2">
          <reference field="4294967294" count="1" selected="0">
            <x v="0"/>
          </reference>
          <reference field="2" count="1" selected="0">
            <x v="8"/>
          </reference>
        </references>
      </pivotArea>
    </chartFormat>
    <chartFormat chart="6" format="17" series="1">
      <pivotArea type="data" outline="0" fieldPosition="0">
        <references count="2">
          <reference field="4294967294" count="1" selected="0">
            <x v="0"/>
          </reference>
          <reference field="2" count="1" selected="0">
            <x v="9"/>
          </reference>
        </references>
      </pivotArea>
    </chartFormat>
    <chartFormat chart="6" format="18" series="1">
      <pivotArea type="data" outline="0" fieldPosition="0">
        <references count="2">
          <reference field="4294967294" count="1" selected="0">
            <x v="0"/>
          </reference>
          <reference field="2" count="1" selected="0">
            <x v="10"/>
          </reference>
        </references>
      </pivotArea>
    </chartFormat>
    <chartFormat chart="6" format="19">
      <pivotArea type="data" outline="0" fieldPosition="0">
        <references count="3">
          <reference field="4294967294" count="1" selected="0">
            <x v="0"/>
          </reference>
          <reference field="0" count="1" selected="0">
            <x v="1"/>
          </reference>
          <reference field="2" count="1" selected="0">
            <x v="10"/>
          </reference>
        </references>
      </pivotArea>
    </chartFormat>
    <chartFormat chart="6" format="20">
      <pivotArea type="data" outline="0" fieldPosition="0">
        <references count="3">
          <reference field="4294967294" count="1" selected="0">
            <x v="0"/>
          </reference>
          <reference field="0" count="1" selected="0">
            <x v="0"/>
          </reference>
          <reference field="2" count="1" selected="0">
            <x v="10"/>
          </reference>
        </references>
      </pivotArea>
    </chartFormat>
    <chartFormat chart="6" format="21">
      <pivotArea type="data" outline="0" fieldPosition="0">
        <references count="3">
          <reference field="4294967294" count="1" selected="0">
            <x v="0"/>
          </reference>
          <reference field="0" count="1" selected="0">
            <x v="3"/>
          </reference>
          <reference field="2" count="1" selected="0">
            <x v="10"/>
          </reference>
        </references>
      </pivotArea>
    </chartFormat>
    <chartFormat chart="6" format="22">
      <pivotArea type="data" outline="0" fieldPosition="0">
        <references count="3">
          <reference field="4294967294" count="1" selected="0">
            <x v="0"/>
          </reference>
          <reference field="0" count="1" selected="0">
            <x v="1"/>
          </reference>
          <reference field="2" count="1" selected="0">
            <x v="7"/>
          </reference>
        </references>
      </pivotArea>
    </chartFormat>
    <chartFormat chart="6" format="23">
      <pivotArea type="data" outline="0" fieldPosition="0">
        <references count="3">
          <reference field="4294967294" count="1" selected="0">
            <x v="0"/>
          </reference>
          <reference field="0" count="1" selected="0">
            <x v="0"/>
          </reference>
          <reference field="2" count="1" selected="0">
            <x v="5"/>
          </reference>
        </references>
      </pivotArea>
    </chartFormat>
    <chartFormat chart="6" format="24">
      <pivotArea type="data" outline="0" fieldPosition="0">
        <references count="3">
          <reference field="4294967294" count="1" selected="0">
            <x v="0"/>
          </reference>
          <reference field="0" count="1" selected="0">
            <x v="1"/>
          </reference>
          <reference field="2" count="1" selected="0">
            <x v="6"/>
          </reference>
        </references>
      </pivotArea>
    </chartFormat>
    <chartFormat chart="6" format="25">
      <pivotArea type="data" outline="0" fieldPosition="0">
        <references count="3">
          <reference field="4294967294" count="1" selected="0">
            <x v="0"/>
          </reference>
          <reference field="0" count="1" selected="0">
            <x v="2"/>
          </reference>
          <reference field="2" count="1" selected="0">
            <x v="6"/>
          </reference>
        </references>
      </pivotArea>
    </chartFormat>
    <chartFormat chart="6" format="26">
      <pivotArea type="data" outline="0" fieldPosition="0">
        <references count="3">
          <reference field="4294967294" count="1" selected="0">
            <x v="0"/>
          </reference>
          <reference field="0" count="1" selected="0">
            <x v="3"/>
          </reference>
          <reference field="2" count="1" selected="0">
            <x v="6"/>
          </reference>
        </references>
      </pivotArea>
    </chartFormat>
    <chartFormat chart="6" format="27">
      <pivotArea type="data" outline="0" fieldPosition="0">
        <references count="3">
          <reference field="4294967294" count="1" selected="0">
            <x v="0"/>
          </reference>
          <reference field="0" count="1" selected="0">
            <x v="0"/>
          </reference>
          <reference field="2" count="1" selected="0">
            <x v="3"/>
          </reference>
        </references>
      </pivotArea>
    </chartFormat>
  </chart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1249A8A4-D2B3-45EE-8309-44763ADD42A2}" name="TabellaPivotFS1" cacheId="5"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chartFormat="3">
  <location ref="L27:S34" firstHeaderRow="1" firstDataRow="3" firstDataCol="1"/>
  <pivotFields count="4">
    <pivotField axis="axisRow" showAll="0">
      <items count="5">
        <item x="0"/>
        <item x="1"/>
        <item x="2"/>
        <item x="3"/>
        <item t="default"/>
      </items>
    </pivotField>
    <pivotField dataField="1" showAll="0"/>
    <pivotField axis="axisCol" showAll="0">
      <items count="5">
        <item h="1" x="2"/>
        <item h="1" m="1" x="3"/>
        <item x="1"/>
        <item n="Ratios" h="1" x="0"/>
        <item t="default"/>
      </items>
    </pivotField>
    <pivotField axis="axisCol" showAll="0">
      <items count="19">
        <item m="1" x="14"/>
        <item m="1" x="16"/>
        <item m="1" x="17"/>
        <item x="0"/>
        <item x="4"/>
        <item x="2"/>
        <item x="1"/>
        <item x="11"/>
        <item m="1" x="15"/>
        <item x="12"/>
        <item x="3"/>
        <item x="6"/>
        <item m="1" x="13"/>
        <item x="8"/>
        <item x="10"/>
        <item x="9"/>
        <item x="7"/>
        <item x="5"/>
        <item t="default"/>
      </items>
    </pivotField>
  </pivotFields>
  <rowFields count="1">
    <field x="0"/>
  </rowFields>
  <rowItems count="5">
    <i>
      <x/>
    </i>
    <i>
      <x v="1"/>
    </i>
    <i>
      <x v="2"/>
    </i>
    <i>
      <x v="3"/>
    </i>
    <i t="grand">
      <x/>
    </i>
  </rowItems>
  <colFields count="2">
    <field x="2"/>
    <field x="3"/>
  </colFields>
  <colItems count="7">
    <i>
      <x v="2"/>
      <x v="4"/>
    </i>
    <i r="1">
      <x v="5"/>
    </i>
    <i r="1">
      <x v="6"/>
    </i>
    <i r="1">
      <x v="14"/>
    </i>
    <i r="1">
      <x v="15"/>
    </i>
    <i t="default">
      <x v="2"/>
    </i>
    <i t="grand">
      <x/>
    </i>
  </colItems>
  <dataFields count="1">
    <dataField name="TabellaPivotFS1" fld="1" baseField="0" baseItem="0"/>
  </dataFields>
  <chartFormats count="19">
    <chartFormat chart="2" format="22" series="1">
      <pivotArea type="data" outline="0" fieldPosition="0">
        <references count="3">
          <reference field="4294967294" count="1" selected="0">
            <x v="0"/>
          </reference>
          <reference field="2" count="1" selected="0">
            <x v="0"/>
          </reference>
          <reference field="3" count="1" selected="0">
            <x v="10"/>
          </reference>
        </references>
      </pivotArea>
    </chartFormat>
    <chartFormat chart="2" format="23" series="1">
      <pivotArea type="data" outline="0" fieldPosition="0">
        <references count="3">
          <reference field="4294967294" count="1" selected="0">
            <x v="0"/>
          </reference>
          <reference field="2" count="1" selected="0">
            <x v="0"/>
          </reference>
          <reference field="3" count="1" selected="0">
            <x v="17"/>
          </reference>
        </references>
      </pivotArea>
    </chartFormat>
    <chartFormat chart="2" format="24" series="1">
      <pivotArea type="data" outline="0" fieldPosition="0">
        <references count="3">
          <reference field="4294967294" count="1" selected="0">
            <x v="0"/>
          </reference>
          <reference field="2" count="1" selected="0">
            <x v="0"/>
          </reference>
          <reference field="3" count="1" selected="0">
            <x v="11"/>
          </reference>
        </references>
      </pivotArea>
    </chartFormat>
    <chartFormat chart="2" format="25" series="1">
      <pivotArea type="data" outline="0" fieldPosition="0">
        <references count="3">
          <reference field="4294967294" count="1" selected="0">
            <x v="0"/>
          </reference>
          <reference field="2" count="1" selected="0">
            <x v="0"/>
          </reference>
          <reference field="3" count="1" selected="0">
            <x v="7"/>
          </reference>
        </references>
      </pivotArea>
    </chartFormat>
    <chartFormat chart="2" format="26" series="1">
      <pivotArea type="data" outline="0" fieldPosition="0">
        <references count="3">
          <reference field="4294967294" count="1" selected="0">
            <x v="0"/>
          </reference>
          <reference field="2" count="1" selected="0">
            <x v="0"/>
          </reference>
          <reference field="3" count="1" selected="0">
            <x v="8"/>
          </reference>
        </references>
      </pivotArea>
    </chartFormat>
    <chartFormat chart="2" format="27" series="1">
      <pivotArea type="data" outline="0" fieldPosition="0">
        <references count="3">
          <reference field="4294967294" count="1" selected="0">
            <x v="0"/>
          </reference>
          <reference field="2" count="1" selected="0">
            <x v="1"/>
          </reference>
          <reference field="3" count="1" selected="0">
            <x v="2"/>
          </reference>
        </references>
      </pivotArea>
    </chartFormat>
    <chartFormat chart="2" format="28" series="1">
      <pivotArea type="data" outline="0" fieldPosition="0">
        <references count="3">
          <reference field="4294967294" count="1" selected="0">
            <x v="0"/>
          </reference>
          <reference field="2" count="1" selected="0">
            <x v="1"/>
          </reference>
          <reference field="3" count="1" selected="0">
            <x v="1"/>
          </reference>
        </references>
      </pivotArea>
    </chartFormat>
    <chartFormat chart="2" format="29" series="1">
      <pivotArea type="data" outline="0" fieldPosition="0">
        <references count="3">
          <reference field="4294967294" count="1" selected="0">
            <x v="0"/>
          </reference>
          <reference field="2" count="1" selected="0">
            <x v="1"/>
          </reference>
          <reference field="3" count="1" selected="0">
            <x v="0"/>
          </reference>
        </references>
      </pivotArea>
    </chartFormat>
    <chartFormat chart="2" format="30" series="1">
      <pivotArea type="data" outline="0" fieldPosition="0">
        <references count="3">
          <reference field="4294967294" count="1" selected="0">
            <x v="0"/>
          </reference>
          <reference field="2" count="1" selected="0">
            <x v="1"/>
          </reference>
          <reference field="3" count="1" selected="0">
            <x v="12"/>
          </reference>
        </references>
      </pivotArea>
    </chartFormat>
    <chartFormat chart="2" format="31" series="1">
      <pivotArea type="data" outline="0" fieldPosition="0">
        <references count="3">
          <reference field="4294967294" count="1" selected="0">
            <x v="0"/>
          </reference>
          <reference field="2" count="1" selected="0">
            <x v="2"/>
          </reference>
          <reference field="3" count="1" selected="0">
            <x v="14"/>
          </reference>
        </references>
      </pivotArea>
    </chartFormat>
    <chartFormat chart="2" format="32" series="1">
      <pivotArea type="data" outline="0" fieldPosition="0">
        <references count="3">
          <reference field="4294967294" count="1" selected="0">
            <x v="0"/>
          </reference>
          <reference field="2" count="1" selected="0">
            <x v="2"/>
          </reference>
          <reference field="3" count="1" selected="0">
            <x v="6"/>
          </reference>
        </references>
      </pivotArea>
    </chartFormat>
    <chartFormat chart="2" format="33" series="1">
      <pivotArea type="data" outline="0" fieldPosition="0">
        <references count="3">
          <reference field="4294967294" count="1" selected="0">
            <x v="0"/>
          </reference>
          <reference field="2" count="1" selected="0">
            <x v="2"/>
          </reference>
          <reference field="3" count="1" selected="0">
            <x v="5"/>
          </reference>
        </references>
      </pivotArea>
    </chartFormat>
    <chartFormat chart="2" format="34" series="1">
      <pivotArea type="data" outline="0" fieldPosition="0">
        <references count="3">
          <reference field="4294967294" count="1" selected="0">
            <x v="0"/>
          </reference>
          <reference field="2" count="1" selected="0">
            <x v="2"/>
          </reference>
          <reference field="3" count="1" selected="0">
            <x v="4"/>
          </reference>
        </references>
      </pivotArea>
    </chartFormat>
    <chartFormat chart="2" format="35" series="1">
      <pivotArea type="data" outline="0" fieldPosition="0">
        <references count="3">
          <reference field="4294967294" count="1" selected="0">
            <x v="0"/>
          </reference>
          <reference field="2" count="1" selected="0">
            <x v="2"/>
          </reference>
          <reference field="3" count="1" selected="0">
            <x v="15"/>
          </reference>
        </references>
      </pivotArea>
    </chartFormat>
    <chartFormat chart="2" format="36" series="1">
      <pivotArea type="data" outline="0" fieldPosition="0">
        <references count="3">
          <reference field="4294967294" count="1" selected="0">
            <x v="0"/>
          </reference>
          <reference field="2" count="1" selected="0">
            <x v="3"/>
          </reference>
          <reference field="3" count="1" selected="0">
            <x v="3"/>
          </reference>
        </references>
      </pivotArea>
    </chartFormat>
    <chartFormat chart="2" format="37" series="1">
      <pivotArea type="data" outline="0" fieldPosition="0">
        <references count="3">
          <reference field="4294967294" count="1" selected="0">
            <x v="0"/>
          </reference>
          <reference field="2" count="1" selected="0">
            <x v="3"/>
          </reference>
          <reference field="3" count="1" selected="0">
            <x v="16"/>
          </reference>
        </references>
      </pivotArea>
    </chartFormat>
    <chartFormat chart="2" format="38" series="1">
      <pivotArea type="data" outline="0" fieldPosition="0">
        <references count="3">
          <reference field="4294967294" count="1" selected="0">
            <x v="0"/>
          </reference>
          <reference field="2" count="1" selected="0">
            <x v="3"/>
          </reference>
          <reference field="3" count="1" selected="0">
            <x v="13"/>
          </reference>
        </references>
      </pivotArea>
    </chartFormat>
    <chartFormat chart="2" format="39" series="1">
      <pivotArea type="data" outline="0" fieldPosition="0">
        <references count="1">
          <reference field="4294967294" count="1" selected="0">
            <x v="0"/>
          </reference>
        </references>
      </pivotArea>
    </chartFormat>
    <chartFormat chart="2" format="40" series="1">
      <pivotArea type="data" outline="0" fieldPosition="0">
        <references count="3">
          <reference field="4294967294" count="1" selected="0">
            <x v="0"/>
          </reference>
          <reference field="2" count="1" selected="0">
            <x v="0"/>
          </reference>
          <reference field="3" count="1" selected="0">
            <x v="9"/>
          </reference>
        </references>
      </pivotArea>
    </chartFormat>
  </chart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FiltroDati_Category" xr10:uid="{D57CE557-D5F1-44A1-86AC-015CDE90B0E9}" sourceName="Category">
  <pivotTables>
    <pivotTable tabId="14" name="TabellaPivotPlants1"/>
    <pivotTable tabId="14" name="TabellaPivotPlants2"/>
  </pivotTables>
  <data>
    <tabular pivotCacheId="270834535" sortOrder="descending">
      <items count="2">
        <i x="0" s="1"/>
        <i x="1" s="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FiltroDati_Year" xr10:uid="{583CE90C-20E5-4688-A6A2-A45371569148}" sourceName="Year">
  <pivotTables>
    <pivotTable tabId="23" name="TabellaPivotEmissions"/>
  </pivotTables>
  <data>
    <tabular pivotCacheId="313102133">
      <items count="4">
        <i x="0" s="1"/>
        <i x="1" s="1"/>
        <i x="2" s="1"/>
        <i x="3" s="1"/>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FiltroDati_Measure_unit" xr10:uid="{702B59B9-9429-4B62-909F-EE3826B10232}" sourceName="Measure unit">
  <pivotTables>
    <pivotTable tabId="23" name="TabellaPivotCustomers"/>
  </pivotTables>
  <data>
    <tabular pivotCacheId="1962336548">
      <items count="2">
        <i x="1" s="1"/>
        <i x="0"/>
      </items>
    </tabular>
  </data>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FiltroDati_Category5" xr10:uid="{24FE199C-06F9-462E-9CF2-FFDBC62C9F56}" sourceName="Category">
  <pivotTables>
    <pivotTable tabId="23" name="TabellaPivotCustomers"/>
  </pivotTables>
  <data>
    <tabular pivotCacheId="1962336548">
      <items count="2">
        <i x="1" s="1"/>
        <i x="0" s="1"/>
      </items>
    </tabular>
  </data>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FiltroDati_Year1" xr10:uid="{D6D6F05A-6C1C-49B5-9EAE-4A2D21BD3FD4}" sourceName="Year">
  <pivotTables>
    <pivotTable tabId="23" name="TabellaPivotCustomers"/>
  </pivotTables>
  <data>
    <tabular pivotCacheId="1962336548">
      <items count="4">
        <i x="0" s="1"/>
        <i x="1" s="1"/>
        <i x="2" s="1"/>
        <i x="3" s="1"/>
      </items>
    </tabular>
  </data>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FiltroDati_Year6" xr10:uid="{B285AF8B-4DA6-42C1-8D09-55E0D3CA4029}" sourceName="Year">
  <pivotTables>
    <pivotTable tabId="24" name="TabellaPivotFS1"/>
  </pivotTables>
  <data>
    <tabular pivotCacheId="2021975807">
      <items count="4">
        <i x="0" s="1"/>
        <i x="1" s="1"/>
        <i x="2" s="1"/>
        <i x="3" s="1"/>
      </items>
    </tabular>
  </data>
  <extLst>
    <x:ext xmlns:x15="http://schemas.microsoft.com/office/spreadsheetml/2010/11/main" uri="{470722E0-AACD-4C17-9CDC-17EF765DBC7E}">
      <x15:slicerCacheHideItemsWithNoData/>
    </x:ext>
  </extLst>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FiltroDati_Category6" xr10:uid="{3D8097A1-0FD4-4B2B-9F65-EF80B55C5F71}" sourceName="Category">
  <pivotTables>
    <pivotTable tabId="24" name="TabellaPivotFS1"/>
  </pivotTables>
  <data>
    <tabular pivotCacheId="2021975807">
      <items count="4">
        <i x="2"/>
        <i x="1" s="1"/>
        <i x="0"/>
        <i x="3" nd="1"/>
      </items>
    </tabular>
  </data>
  <extLst>
    <x:ext xmlns:x15="http://schemas.microsoft.com/office/spreadsheetml/2010/11/main" uri="{470722E0-AACD-4C17-9CDC-17EF765DBC7E}">
      <x15:slicerCacheHideItemsWithNoData/>
    </x:ext>
  </extLst>
</slicerCacheDefinition>
</file>

<file path=xl/slicerCaches/slicerCache1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FiltroDati_Subcategory" xr10:uid="{3C6E9FE2-0265-4A37-B6F4-93C75E80629B}" sourceName="Subcategory">
  <pivotTables>
    <pivotTable tabId="24" name="TabellaPivotFS1"/>
  </pivotTables>
  <data>
    <tabular pivotCacheId="2021975807">
      <items count="18">
        <i x="1" s="1"/>
        <i x="2" s="1"/>
        <i x="4" s="1"/>
        <i x="9" s="1"/>
        <i x="10" s="1"/>
        <i x="17" s="1" nd="1"/>
        <i x="16" s="1" nd="1"/>
        <i x="0" s="1" nd="1"/>
        <i x="3" s="1" nd="1"/>
        <i x="5" s="1" nd="1"/>
        <i x="6" s="1" nd="1"/>
        <i x="14" s="1" nd="1"/>
        <i x="13" s="1" nd="1"/>
        <i x="7" s="1" nd="1"/>
        <i x="8" s="1" nd="1"/>
        <i x="11" s="1" nd="1"/>
        <i x="15" s="1" nd="1"/>
        <i x="12"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FiltroDati_Category1" xr10:uid="{BC18153B-ED31-4EAB-B218-86ECCF1180EE}" sourceName="Category">
  <pivotTables>
    <pivotTable tabId="20" name="TabellaPivotDivision1"/>
    <pivotTable tabId="20" name="TabellaPivotDivision2"/>
  </pivotTables>
  <data>
    <tabular pivotCacheId="1106996962">
      <items count="7">
        <i x="4"/>
        <i x="5"/>
        <i x="2"/>
        <i x="3"/>
        <i x="1"/>
        <i x="0" s="1"/>
        <i x="6"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FiltroDati_Category3" xr10:uid="{9CA472F1-A67A-44EF-BCD5-85241A634375}" sourceName="Category">
  <pivotTables>
    <pivotTable tabId="21" name="TabellaPivotVolumes2"/>
  </pivotTables>
  <data>
    <tabular pivotCacheId="426436150">
      <items count="2">
        <i x="0" s="1"/>
        <i x="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FiltroDati_Category2" xr10:uid="{A007796E-5E50-4C3E-831F-621BB9DA025C}" sourceName="Category">
  <pivotTables>
    <pivotTable tabId="21" name="TabellaPivotVolumes1"/>
  </pivotTables>
  <data>
    <tabular pivotCacheId="772372635">
      <items count="2">
        <i x="0" s="1"/>
        <i x="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FiltroDati_Year2" xr10:uid="{82111296-D885-4890-B6E2-EF654356E2F0}" sourceName="Year">
  <pivotTables>
    <pivotTable tabId="20" name="TabellaPivotDivision1"/>
  </pivotTables>
  <data>
    <tabular pivotCacheId="1106996962">
      <items count="4">
        <i x="0" s="1"/>
        <i x="1" s="1"/>
        <i x="2" s="1"/>
        <i x="3"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FiltroDati_Year3" xr10:uid="{A0E5850A-24D8-492A-B243-9DA3D5C0F2C2}" sourceName="Year">
  <pivotTables>
    <pivotTable tabId="21" name="TabellaPivotVolumes2"/>
  </pivotTables>
  <data>
    <tabular pivotCacheId="426436150">
      <items count="4">
        <i x="0" s="1"/>
        <i x="1" s="1"/>
        <i x="2" s="1"/>
        <i x="3"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FiltroDati_Technology" xr10:uid="{9BB53F9B-EFDB-4976-A2B6-5AC9BFD200D9}" sourceName="Technology">
  <pivotTables>
    <pivotTable tabId="14" name="TabellaPivotPlants2"/>
  </pivotTables>
  <data>
    <tabular pivotCacheId="270834535">
      <items count="9">
        <i x="7"/>
        <i x="4" s="1"/>
        <i x="0" s="1"/>
        <i x="5" s="1"/>
        <i x="1" s="1"/>
        <i x="3" s="1"/>
        <i x="6" s="1"/>
        <i x="2" s="1"/>
        <i x="8" nd="1"/>
      </items>
    </tabular>
  </data>
  <extLst>
    <x:ext xmlns:x15="http://schemas.microsoft.com/office/spreadsheetml/2010/11/main" uri="{470722E0-AACD-4C17-9CDC-17EF765DBC7E}">
      <x15:slicerCacheHideItemsWithNoData/>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FiltroDati_Year4" xr10:uid="{C3ED9A77-AFDD-444A-81DA-3D70EFB6973D}" sourceName="Year">
  <pivotTables>
    <pivotTable tabId="21" name="TabellaPivotVolumes1"/>
  </pivotTables>
  <data>
    <tabular pivotCacheId="772372635">
      <items count="4">
        <i x="0" s="1"/>
        <i x="1" s="1"/>
        <i x="2" s="1"/>
        <i x="3" s="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FiltroDati_Category4" xr10:uid="{812304DE-97A1-44C6-AF0B-F2E05332CD3B}" sourceName="Category">
  <pivotTables>
    <pivotTable tabId="23" name="TabellaPivotEmissions"/>
  </pivotTables>
  <data>
    <tabular pivotCacheId="313102133">
      <items count="3">
        <i x="1" s="1"/>
        <i x="2"/>
        <i x="0"/>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xr10:uid="{96BEF454-93C0-4360-9E5C-54CDD1EBAC5A}" cache="FiltroDati_Category" caption="Category" columnCount="2" showCaption="0" rowHeight="180000"/>
  <slicer name="Category 1" xr10:uid="{1D9F9360-CDB6-4FC2-AAD9-DA0BE04F957F}" cache="FiltroDati_Category1" caption="Category" columnCount="3" showCaption="0" style="Stile filtro dati 1 3 2" rowHeight="180000"/>
  <slicer name="Category 3" xr10:uid="{5180E195-D8A5-4AD3-B812-710E90654233}" cache="FiltroDati_Category3" caption="Category" showCaption="0" style="Stile filtro dati 1" rowHeight="180000"/>
  <slicer name="Category 2" xr10:uid="{9E1961B5-8750-48C7-A01A-F9F358841690}" cache="FiltroDati_Category2" caption="Category" showCaption="0" style="Stile filtro dati 1" rowHeight="180000"/>
  <slicer name="Year 2" xr10:uid="{ECFB29E1-05A1-4108-814B-01453559B6E1}" cache="FiltroDati_Year2" caption="Year" columnCount="2" showCaption="0" style="Stile filtro dati 1 3 2" rowHeight="180000"/>
  <slicer name="Year 3" xr10:uid="{EF7924C3-3754-475B-B9DF-52C71BE62CC4}" cache="FiltroDati_Year3" caption="Year" columnCount="2" showCaption="0" style="Stile filtro dati 1" rowHeight="180000"/>
  <slicer name="Technology" xr10:uid="{D617443F-7E09-4741-8BD0-56DFB5C75711}" cache="FiltroDati_Technology" caption="Technology" columnCount="4" showCaption="0" rowHeight="180000"/>
  <slicer name="Year 4" xr10:uid="{7A7B5366-0FC5-403F-848B-6335D3875AD5}" cache="FiltroDati_Year4" caption="Year" columnCount="2" showCaption="0" style="Stile filtro dati 1" rowHeight="180000"/>
  <slicer name="Category 5" xr10:uid="{C47C0981-2786-431B-BEAE-6B3EA3B97262}" cache="FiltroDati_Category4" caption="Category" showCaption="0" style="Stile filtro dati 1 2 2" rowHeight="180000"/>
  <slicer name="Year" xr10:uid="{3A515ACD-CCBB-4835-BC42-E16A6C2B40D6}" cache="FiltroDati_Year" caption="Year" columnCount="2" showCaption="0" style="Stile filtro dati 1 2 2" rowHeight="180000"/>
  <slicer name="Measure unit" xr10:uid="{90D29EC2-5BBE-4FE0-A7B2-C034199C0E4B}" cache="FiltroDati_Measure_unit" caption="Measure unit" columnCount="2" showCaption="0" style="Stile filtro dati 1 2 2" rowHeight="180000"/>
  <slicer name="Category 4" xr10:uid="{494D2C94-2B7C-4793-9577-98743961663E}" cache="FiltroDati_Category5" caption="Category" columnCount="2" showCaption="0" style="Stile filtro dati 1 2 2" rowHeight="180000"/>
  <slicer name="Year 1" xr10:uid="{A7303E15-A56C-4C52-A9FD-506F9624873B}" cache="FiltroDati_Year1" caption="Year" columnCount="2" showCaption="0" style="Stile filtro dati 1 2 2" rowHeight="198000"/>
  <slicer name="Year 6" xr10:uid="{B393F6DD-36C1-4C28-84CB-E7F4E5ACE482}" cache="FiltroDati_Year6" caption="Year" columnCount="4" showCaption="0" style="Stile filtro dati 1 2" rowHeight="225425"/>
  <slicer name="Category 6" xr10:uid="{E4C642B4-2EBD-4FC1-A82D-0243C23A4FD9}" cache="FiltroDati_Category6" caption="Category" showCaption="0" style="Stile filtro dati 1 2" rowHeight="306000"/>
  <slicer name="Subcategory" xr10:uid="{A4E34964-6468-45A3-8495-1DE115001884}" cache="FiltroDati_Subcategory" style="Stile filtro dati 1 2" rowHeight="1800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F72776B-978A-414A-9396-6AAEDD60BB39}" name="TabellaPlants" displayName="TabellaPlants" ref="B2:H176" headerRowDxfId="61" dataDxfId="60">
  <autoFilter ref="B2:H176" xr:uid="{B27B97AD-FD8E-4E66-8534-3A3CF2896A8B}"/>
  <sortState ref="B3:H176">
    <sortCondition ref="D2:D176"/>
  </sortState>
  <tableColumns count="7">
    <tableColumn id="1" xr3:uid="{A941BB25-9B09-4AB1-BD99-B4DBC203A628}" name="Code" totalsRowLabel="Totale" dataDxfId="59" totalsRowDxfId="58"/>
    <tableColumn id="2" xr3:uid="{AD061FFC-B308-4089-9994-D8D3CBCB6CB0}" name="Plant name" dataDxfId="57" totalsRowDxfId="56"/>
    <tableColumn id="4" xr3:uid="{B191020C-B0C2-4BF1-9CEC-3D6A55C014E2}" name="Region" dataDxfId="55" totalsRowDxfId="54"/>
    <tableColumn id="5" xr3:uid="{7B187508-D7BC-4BF1-906E-93BF8FD40CE2}" name="Company" dataDxfId="53" totalsRowDxfId="52"/>
    <tableColumn id="6" xr3:uid="{CDC5B57F-696D-4D05-8DA1-E318DDC26079}" name="Technology" dataDxfId="51" totalsRowDxfId="50"/>
    <tableColumn id="7" xr3:uid="{D8E50903-5DEA-42B6-8CFC-1C0844A41198}" name="Category" dataDxfId="49" totalsRowDxfId="48"/>
    <tableColumn id="8" xr3:uid="{50E3BEA5-3A46-4960-9160-79003310C955}" name="Capacity" totalsRowFunction="sum" dataDxfId="47" totalsRowDxfId="46"/>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369264A-5F82-4796-8CDB-BEB11AFD6454}" name="TabellaMap" displayName="TabellaMap" ref="M39:AD41" totalsRowShown="0" headerRowDxfId="45">
  <autoFilter ref="M39:AD41" xr:uid="{0018B89A-CBD1-482D-8DF4-925024260CEB}"/>
  <tableColumns count="18">
    <tableColumn id="1" xr3:uid="{96729DF7-990D-4A0E-BF63-6C0A89AE52C0}" name="Somma di Capacity">
      <calculatedColumnFormula>VLOOKUP(L13,$K$2:$L$9,2)</calculatedColumnFormula>
    </tableColumn>
    <tableColumn id="2" xr3:uid="{07F73F6C-DA32-4790-B8C2-2A4CAE87A804}" name="Etichette di colonna">
      <calculatedColumnFormula>GETPIVOTDATA("Capacity",$M$2,"Region",N$40,"Technology",$M$41)</calculatedColumnFormula>
    </tableColumn>
    <tableColumn id="3" xr3:uid="{D1B06B74-3C11-4DAD-B4CB-BAE0B76CCCFC}" name="Colonna1">
      <calculatedColumnFormula>GETPIVOTDATA("Capacity",$M$2,"Region",O$40,"Technology",$M$41)</calculatedColumnFormula>
    </tableColumn>
    <tableColumn id="4" xr3:uid="{2335F3AF-7B3A-4A9C-9E7B-34596290A1D2}" name="Colonna2">
      <calculatedColumnFormula>GETPIVOTDATA("Capacity",$M$2,"Region",P$40,"Technology",$M$41)</calculatedColumnFormula>
    </tableColumn>
    <tableColumn id="5" xr3:uid="{4B1D11F5-91CF-4267-B9FB-BBA4C8A8D5E0}" name="Colonna3">
      <calculatedColumnFormula>GETPIVOTDATA("Capacity",$M$2,"Region",Q$40,"Technology",$M$41)</calculatedColumnFormula>
    </tableColumn>
    <tableColumn id="6" xr3:uid="{1713D7F1-EEAD-4AA0-A192-5AF9123E72D1}" name="Colonna4">
      <calculatedColumnFormula>GETPIVOTDATA("Capacity",$M$2,"Region",R$40,"Technology",$M$41)</calculatedColumnFormula>
    </tableColumn>
    <tableColumn id="7" xr3:uid="{DCE86393-DAF4-486C-AB40-05EFD8B9814C}" name="Colonna5">
      <calculatedColumnFormula>GETPIVOTDATA("Capacity",$M$2,"Region",S$40,"Technology",$M$41)</calculatedColumnFormula>
    </tableColumn>
    <tableColumn id="8" xr3:uid="{EA4416E2-AC58-4BBB-9FFF-EA517AB62310}" name="Colonna6">
      <calculatedColumnFormula>GETPIVOTDATA("Capacity",$M$2,"Region",T$40,"Technology",$M$41)</calculatedColumnFormula>
    </tableColumn>
    <tableColumn id="9" xr3:uid="{132751BF-6850-4233-83E5-0E4B3184BB03}" name="Colonna7">
      <calculatedColumnFormula>GETPIVOTDATA("Capacity",$M$2,"Region",U$40,"Technology",$M$41)</calculatedColumnFormula>
    </tableColumn>
    <tableColumn id="10" xr3:uid="{3D3E41D1-B21A-4FE7-8381-EDA9CFF6A18F}" name="Colonna8">
      <calculatedColumnFormula>GETPIVOTDATA("Capacity",$M$2,"Region",V$40,"Technology",$M$41)</calculatedColumnFormula>
    </tableColumn>
    <tableColumn id="11" xr3:uid="{AF3D873E-0ED4-441E-8649-2E64FC56CAF5}" name="Colonna9">
      <calculatedColumnFormula>GETPIVOTDATA("Capacity",$M$2,"Region",W$40,"Technology",$M$41)</calculatedColumnFormula>
    </tableColumn>
    <tableColumn id="12" xr3:uid="{97B3196C-2BFB-470F-A289-8A68EA766586}" name="Colonna10">
      <calculatedColumnFormula>GETPIVOTDATA("Capacity",$M$2,"Region",X$40,"Technology",$M$41)</calculatedColumnFormula>
    </tableColumn>
    <tableColumn id="13" xr3:uid="{A6D42F05-7BC3-474D-9B67-4B0C2E6A4A89}" name="Colonna11">
      <calculatedColumnFormula>GETPIVOTDATA("Capacity",$M$2,"Region",Y$40,"Technology",$M$41)</calculatedColumnFormula>
    </tableColumn>
    <tableColumn id="14" xr3:uid="{479167C9-382C-419A-A13E-4E7481EB0F89}" name="Colonna12">
      <calculatedColumnFormula>GETPIVOTDATA("Capacity",$M$2,"Region",Z$40,"Technology",$M$41)</calculatedColumnFormula>
    </tableColumn>
    <tableColumn id="15" xr3:uid="{E2A1C793-586B-4B9D-8B4B-DF2C97F9F30D}" name="Colonna13">
      <calculatedColumnFormula>GETPIVOTDATA("Capacity",$M$2,"Region",AA$40,"Technology",$M$41)</calculatedColumnFormula>
    </tableColumn>
    <tableColumn id="16" xr3:uid="{550403DE-78F4-4E5D-B4A3-4DDF16B82DBE}" name="Colonna14">
      <calculatedColumnFormula>GETPIVOTDATA("Capacity",$M$2,"Region",AB$40,"Technology",$M$41)</calculatedColumnFormula>
    </tableColumn>
    <tableColumn id="17" xr3:uid="{6E98D093-0DE5-42D0-AE27-6895914AACB0}" name="Colonna15">
      <calculatedColumnFormula>GETPIVOTDATA("Capacity",$M$2,"Region",AC$40,"Technology",$M$41)</calculatedColumnFormula>
    </tableColumn>
    <tableColumn id="18" xr3:uid="{B7B678D8-42A2-4FEB-B176-A7661C819630}" name="Colonna16">
      <calculatedColumnFormula>GETPIVOTDATA("Capacity",$M$2,"Region",AD$40,"Technology",$M$41)</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23035C7-F22E-4D7C-A951-170D0DE1E04D}" name="TabellaDivisions" displayName="TabellaDivisions" ref="B2:E74" totalsRowShown="0" headerRowDxfId="34" dataDxfId="33">
  <autoFilter ref="B2:E74" xr:uid="{088F0BE8-1712-4A43-8542-810C94F77622}"/>
  <sortState ref="B3:E74">
    <sortCondition ref="B2:B74"/>
  </sortState>
  <tableColumns count="4">
    <tableColumn id="1" xr3:uid="{E181B080-EC27-4EF2-969E-80A07E5BB522}" name="Year" dataDxfId="32"/>
    <tableColumn id="2" xr3:uid="{28F4FF13-A87B-4BBA-8D0B-DD00F7810A97}" name="Amount" dataDxfId="31"/>
    <tableColumn id="3" xr3:uid="{BF3EE374-757C-4030-856A-17E2770F8E51}" name="Division" dataDxfId="30"/>
    <tableColumn id="4" xr3:uid="{D23CCDB6-6BB5-4CA5-A3A3-617CE02567B0}" name="Category" dataDxfId="29"/>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ECB30F5-037D-46B7-A3F7-2E9846EE604E}" name="TabellaPower" displayName="TabellaPower" ref="B2:F26" totalsRowShown="0" headerRowDxfId="28" dataDxfId="27">
  <autoFilter ref="B2:F26" xr:uid="{4BFD43FC-0CDA-46CA-8F02-DD37310EE22F}"/>
  <sortState ref="B3:F32">
    <sortCondition ref="B2:B32"/>
  </sortState>
  <tableColumns count="5">
    <tableColumn id="1" xr3:uid="{2058161F-593F-4E03-9D37-6CD093E4748F}" name="Year" dataDxfId="26"/>
    <tableColumn id="2" xr3:uid="{262967F6-F2A8-4156-A534-1C9DEAF5F0ED}" name="GWh" dataDxfId="25"/>
    <tableColumn id="3" xr3:uid="{F939E874-5173-4EC9-92BE-C5E8A5BA0037}" name="Category" dataDxfId="24"/>
    <tableColumn id="4" xr3:uid="{81E64FF9-5FF6-4CD0-9B44-FA6422F15B3F}" name="Subcategory" dataDxfId="23"/>
    <tableColumn id="5" xr3:uid="{CED936EC-55E5-42E9-A290-9666FD0FC788}" name="Division" dataDxfId="22"/>
  </tableColumns>
  <tableStyleInfo name="TableStyleMedium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67993E6-F94F-4486-A4BC-D3DDEB353F17}" name="TabellaGas" displayName="TabellaGas" ref="B38:F78" totalsRowShown="0" headerRowDxfId="21" dataDxfId="19" headerRowBorderDxfId="20" tableBorderDxfId="18">
  <autoFilter ref="B38:F78" xr:uid="{7902DC39-B4EE-4D60-97FE-456560ACAC74}"/>
  <sortState ref="B39:F88">
    <sortCondition ref="B38:B88"/>
  </sortState>
  <tableColumns count="5">
    <tableColumn id="1" xr3:uid="{67CF0043-2CE7-41AF-9BF8-592ADC118978}" name="Year" dataDxfId="17"/>
    <tableColumn id="2" xr3:uid="{B9EA2F5B-4DB9-4575-AD4B-6875EA3D8608}" name="mln cm" dataDxfId="16"/>
    <tableColumn id="3" xr3:uid="{18B149E9-9F7E-4EFC-AFB3-6CD0C456DA72}" name="Category" dataDxfId="15"/>
    <tableColumn id="4" xr3:uid="{DD501B65-4C25-426E-BF0E-44703D1D34CD}" name="Subcategory" dataDxfId="14"/>
    <tableColumn id="5" xr3:uid="{A95E3E42-0A24-4891-9FE5-ADD9CE12AC67}" name="Division" dataDxfId="13"/>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F12050A-41BD-4A9A-A798-7FCCF2C43189}" name="TabellaEmissions" displayName="TabellaEmissions" ref="B2:E38" totalsRowShown="0" headerRowDxfId="12" dataDxfId="11">
  <autoFilter ref="B2:E38" xr:uid="{8ED2116B-A5CD-4CB9-B672-08658D53E72C}"/>
  <sortState ref="B3:E38">
    <sortCondition ref="B2:B38"/>
  </sortState>
  <tableColumns count="4">
    <tableColumn id="1" xr3:uid="{D5464F8B-AB52-4345-BA3E-F9F4A5D044A4}" name="Year" dataDxfId="10"/>
    <tableColumn id="2" xr3:uid="{E20B441D-1A5E-4538-B233-E98D009CF0AF}" name="Value" dataDxfId="9"/>
    <tableColumn id="3" xr3:uid="{8506A51D-0185-45D8-B363-B690FFFD7DCF}" name="Subcategory" dataDxfId="8"/>
    <tableColumn id="4" xr3:uid="{927D39F7-47FA-4497-AF54-8FD70303AA41}" name="Category" dataDxfId="7"/>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E15997F-D210-42B6-A13D-11870A2DABD5}" name="TabellaCustomers" displayName="TabellaCustomers" ref="B44:F92" totalsRowShown="0" headerRowDxfId="6" dataDxfId="5">
  <autoFilter ref="B44:F92" xr:uid="{7D62D92C-E46B-4818-8453-F3439CC2A3A0}"/>
  <tableColumns count="5">
    <tableColumn id="1" xr3:uid="{7A11B7C1-DC6A-4873-8A47-4CD94B719788}" name="Year" dataDxfId="4"/>
    <tableColumn id="2" xr3:uid="{A7EFE6A3-A772-49E0-9A37-3494026749FD}" name="Value" dataDxfId="3"/>
    <tableColumn id="3" xr3:uid="{4C5461D3-31C9-4B01-BAF4-C8400DB7D6A0}" name="Category" dataDxfId="2"/>
    <tableColumn id="4" xr3:uid="{E2FA2699-102B-4F63-A04A-BFFCC80E1F8B}" name="Subcategory" dataDxfId="1"/>
    <tableColumn id="5" xr3:uid="{45E3E3C3-27FE-40D8-9698-63AE2CD8EE8F}" name="Measure unit" dataDxfId="0"/>
  </tableColumns>
  <tableStyleInfo name="TableStyleMedium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C5215A1-2A8F-425D-9BBB-F431A1ABBD21}" name="TabellaFS" displayName="TabellaFS" ref="B2:E54" totalsRowShown="0">
  <autoFilter ref="B2:E54" xr:uid="{A2DC1FCE-3920-4609-AE50-B2DD1617DB88}"/>
  <sortState ref="B3:E54">
    <sortCondition ref="B2:B54"/>
  </sortState>
  <tableColumns count="4">
    <tableColumn id="1" xr3:uid="{BA711F1E-3A5E-4161-AA19-DB0083D9CA56}" name="Year"/>
    <tableColumn id="2" xr3:uid="{348D3122-3ABA-4599-A28D-EBF59C5DD986}" name="Value"/>
    <tableColumn id="3" xr3:uid="{60B0B016-ED82-44CD-A73B-4225AB476DAA}" name="Category"/>
    <tableColumn id="4" xr3:uid="{63F19EA7-461B-4BC1-9105-8CCD1ECC37EC}" name="Subcategory"/>
  </tableColumns>
  <tableStyleInfo name="TableStyleMedium6" showFirstColumn="0" showLastColumn="0" showRowStripes="1" showColumnStripes="0"/>
</table>
</file>

<file path=xl/theme/theme1.xml><?xml version="1.0" encoding="utf-8"?>
<a:theme xmlns:a="http://schemas.openxmlformats.org/drawingml/2006/main" name="Tema di Office">
  <a:themeElements>
    <a:clrScheme name="Edison Template">
      <a:dk1>
        <a:sysClr val="windowText" lastClr="000000"/>
      </a:dk1>
      <a:lt1>
        <a:srgbClr val="FFFFFF"/>
      </a:lt1>
      <a:dk2>
        <a:srgbClr val="001A70"/>
      </a:dk2>
      <a:lt2>
        <a:srgbClr val="8F8F8C"/>
      </a:lt2>
      <a:accent1>
        <a:srgbClr val="09357A"/>
      </a:accent1>
      <a:accent2>
        <a:srgbClr val="FE5815"/>
      </a:accent2>
      <a:accent3>
        <a:srgbClr val="FFA02F"/>
      </a:accent3>
      <a:accent4>
        <a:srgbClr val="C4D600"/>
      </a:accent4>
      <a:accent5>
        <a:srgbClr val="509E2F"/>
      </a:accent5>
      <a:accent6>
        <a:srgbClr val="005BBB"/>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07/relationships/slicer" Target="../slicers/slicer1.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table" Target="../tables/table2.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6.xml"/><Relationship Id="rId1" Type="http://schemas.openxmlformats.org/officeDocument/2006/relationships/pivotTable" Target="../pivotTables/pivotTable5.xml"/><Relationship Id="rId5" Type="http://schemas.openxmlformats.org/officeDocument/2006/relationships/table" Target="../tables/table5.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ivotTable" Target="../pivotTables/pivotTable8.xml"/><Relationship Id="rId1" Type="http://schemas.openxmlformats.org/officeDocument/2006/relationships/pivotTable" Target="../pivotTables/pivotTable7.xml"/><Relationship Id="rId4" Type="http://schemas.openxmlformats.org/officeDocument/2006/relationships/table" Target="../tables/table7.xml"/></Relationships>
</file>

<file path=xl/worksheets/_rels/sheet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ivotTable" Target="../pivotTables/pivotTable9.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0F91E-33BA-477C-8E9C-78D53DF51BE7}">
  <sheetPr codeName="Foglio1">
    <tabColor theme="0" tint="-0.249977111117893"/>
  </sheetPr>
  <dimension ref="N4:Y36"/>
  <sheetViews>
    <sheetView showGridLines="0" zoomScaleNormal="100" workbookViewId="0"/>
  </sheetViews>
  <sheetFormatPr defaultColWidth="9.140625" defaultRowHeight="14.25" x14ac:dyDescent="0.2"/>
  <cols>
    <col min="1" max="16384" width="9.140625" style="2"/>
  </cols>
  <sheetData>
    <row r="4" spans="25:25" ht="18" x14ac:dyDescent="0.25">
      <c r="Y4" s="42"/>
    </row>
    <row r="36" spans="14:14" ht="15" x14ac:dyDescent="0.25">
      <c r="N36" s="54"/>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9F7C1-DAE8-49A2-98F1-841007EAE818}">
  <sheetPr codeName="Foglio4">
    <tabColor theme="3"/>
  </sheetPr>
  <dimension ref="A7:L70"/>
  <sheetViews>
    <sheetView showGridLines="0" topLeftCell="A40" zoomScaleNormal="100" workbookViewId="0">
      <selection activeCell="B70" sqref="B70:L70"/>
    </sheetView>
  </sheetViews>
  <sheetFormatPr defaultColWidth="9.140625" defaultRowHeight="14.25" x14ac:dyDescent="0.2"/>
  <cols>
    <col min="1" max="1" width="5.7109375" style="15" customWidth="1"/>
    <col min="2" max="2" width="44.140625" style="13" customWidth="1"/>
    <col min="3" max="7" width="11.5703125" style="13" customWidth="1"/>
    <col min="8" max="16384" width="9.140625" style="13"/>
  </cols>
  <sheetData>
    <row r="7" spans="2:7" x14ac:dyDescent="0.2">
      <c r="B7" s="107"/>
      <c r="D7" s="2"/>
    </row>
    <row r="9" spans="2:7" ht="21" thickBot="1" x14ac:dyDescent="0.35">
      <c r="B9" s="139" t="s">
        <v>920</v>
      </c>
    </row>
    <row r="10" spans="2:7" ht="15" thickBot="1" x14ac:dyDescent="0.25">
      <c r="B10" s="114" t="s">
        <v>740</v>
      </c>
      <c r="C10" s="82">
        <v>2015</v>
      </c>
      <c r="D10" s="82" t="s">
        <v>751</v>
      </c>
      <c r="E10" s="82">
        <v>2017</v>
      </c>
      <c r="F10" s="140" t="s">
        <v>752</v>
      </c>
      <c r="G10" s="82" t="s">
        <v>931</v>
      </c>
    </row>
    <row r="11" spans="2:7" x14ac:dyDescent="0.2">
      <c r="B11" s="141"/>
      <c r="C11" s="142"/>
      <c r="D11" s="142"/>
      <c r="E11" s="142"/>
      <c r="F11" s="143"/>
      <c r="G11" s="142"/>
    </row>
    <row r="12" spans="2:7" x14ac:dyDescent="0.2">
      <c r="B12" s="135" t="s">
        <v>18</v>
      </c>
      <c r="C12" s="116">
        <v>6529</v>
      </c>
      <c r="D12" s="116">
        <v>5682</v>
      </c>
      <c r="E12" s="116">
        <v>5127</v>
      </c>
      <c r="F12" s="116">
        <v>3970</v>
      </c>
      <c r="G12" s="116">
        <v>3768</v>
      </c>
    </row>
    <row r="13" spans="2:7" x14ac:dyDescent="0.2">
      <c r="B13" s="135" t="s">
        <v>19</v>
      </c>
      <c r="C13" s="116">
        <v>5512</v>
      </c>
      <c r="D13" s="116">
        <v>6031</v>
      </c>
      <c r="E13" s="116">
        <v>5592</v>
      </c>
      <c r="F13" s="116">
        <v>5592</v>
      </c>
      <c r="G13" s="116">
        <v>6098</v>
      </c>
    </row>
    <row r="14" spans="2:7" x14ac:dyDescent="0.2">
      <c r="B14" s="135" t="s">
        <v>20</v>
      </c>
      <c r="C14" s="116">
        <v>49</v>
      </c>
      <c r="D14" s="116">
        <v>51</v>
      </c>
      <c r="E14" s="116">
        <v>54</v>
      </c>
      <c r="F14" s="116">
        <v>54</v>
      </c>
      <c r="G14" s="116">
        <v>69</v>
      </c>
    </row>
    <row r="15" spans="2:7" x14ac:dyDescent="0.2">
      <c r="B15" s="135" t="s">
        <v>936</v>
      </c>
      <c r="C15" s="127">
        <v>-777</v>
      </c>
      <c r="D15" s="127">
        <v>-730</v>
      </c>
      <c r="E15" s="127">
        <v>-833</v>
      </c>
      <c r="F15" s="127">
        <v>-833</v>
      </c>
      <c r="G15" s="127">
        <v>-776</v>
      </c>
    </row>
    <row r="16" spans="2:7" x14ac:dyDescent="0.2">
      <c r="B16" s="131" t="s">
        <v>21</v>
      </c>
      <c r="C16" s="116">
        <v>804</v>
      </c>
      <c r="D16" s="116">
        <v>232</v>
      </c>
      <c r="E16" s="116">
        <v>143</v>
      </c>
      <c r="F16" s="116">
        <v>143</v>
      </c>
      <c r="G16" s="116">
        <v>154</v>
      </c>
    </row>
    <row r="17" spans="2:7" ht="15" thickBot="1" x14ac:dyDescent="0.25">
      <c r="B17" s="131"/>
      <c r="C17" s="116"/>
      <c r="D17" s="116"/>
      <c r="E17" s="116"/>
      <c r="F17" s="116"/>
      <c r="G17" s="116"/>
    </row>
    <row r="18" spans="2:7" ht="15" thickBot="1" x14ac:dyDescent="0.25">
      <c r="B18" s="145" t="s">
        <v>22</v>
      </c>
      <c r="C18" s="120">
        <f>SUM(C12:C16)</f>
        <v>12117</v>
      </c>
      <c r="D18" s="120">
        <f>SUM(D12:D16)</f>
        <v>11266</v>
      </c>
      <c r="E18" s="120">
        <f>SUM(E12:E16)</f>
        <v>10083</v>
      </c>
      <c r="F18" s="120">
        <f>SUM(F12:F16)</f>
        <v>8926</v>
      </c>
      <c r="G18" s="120">
        <f>SUM(G12:G16)</f>
        <v>9313</v>
      </c>
    </row>
    <row r="19" spans="2:7" x14ac:dyDescent="0.2">
      <c r="B19" s="137"/>
      <c r="C19" s="121"/>
      <c r="D19" s="121"/>
      <c r="E19" s="121"/>
      <c r="F19" s="121"/>
      <c r="G19" s="121"/>
    </row>
    <row r="20" spans="2:7" x14ac:dyDescent="0.2">
      <c r="B20" s="131" t="s">
        <v>743</v>
      </c>
      <c r="C20" s="157"/>
      <c r="D20" s="157"/>
      <c r="E20" s="157"/>
      <c r="F20" s="127">
        <v>-7026</v>
      </c>
      <c r="G20" s="127">
        <v>-7419</v>
      </c>
    </row>
    <row r="21" spans="2:7" x14ac:dyDescent="0.2">
      <c r="B21" s="131" t="s">
        <v>744</v>
      </c>
      <c r="C21" s="158"/>
      <c r="D21" s="158"/>
      <c r="E21" s="158"/>
      <c r="F21" s="150">
        <v>-572</v>
      </c>
      <c r="G21" s="150">
        <v>-651</v>
      </c>
    </row>
    <row r="22" spans="2:7" x14ac:dyDescent="0.2">
      <c r="B22" s="131" t="s">
        <v>24</v>
      </c>
      <c r="C22" s="150">
        <v>-232</v>
      </c>
      <c r="D22" s="150">
        <v>-295</v>
      </c>
      <c r="E22" s="150">
        <v>-311</v>
      </c>
      <c r="F22" s="150">
        <v>-311</v>
      </c>
      <c r="G22" s="150">
        <v>-337</v>
      </c>
    </row>
    <row r="23" spans="2:7" x14ac:dyDescent="0.2">
      <c r="B23" s="131" t="s">
        <v>746</v>
      </c>
      <c r="C23" s="150">
        <v>-82</v>
      </c>
      <c r="D23" s="150">
        <v>-44</v>
      </c>
      <c r="E23" s="150">
        <v>-61</v>
      </c>
      <c r="F23" s="150">
        <v>-61</v>
      </c>
      <c r="G23" s="150">
        <v>-15</v>
      </c>
    </row>
    <row r="24" spans="2:7" x14ac:dyDescent="0.2">
      <c r="B24" s="131" t="s">
        <v>745</v>
      </c>
      <c r="C24" s="158"/>
      <c r="D24" s="158"/>
      <c r="E24" s="158"/>
      <c r="F24" s="150">
        <v>-153</v>
      </c>
      <c r="G24" s="150">
        <v>-98</v>
      </c>
    </row>
    <row r="25" spans="2:7" x14ac:dyDescent="0.2">
      <c r="B25" s="131" t="s">
        <v>922</v>
      </c>
      <c r="C25" s="150">
        <f>-3733-253-3471-2071-117-161-119-107-62-448</f>
        <v>-10542</v>
      </c>
      <c r="D25" s="150">
        <f>-3327-1276-2968-1722-115-215-99-94-57-401</f>
        <v>-10274</v>
      </c>
      <c r="E25" s="150">
        <f>-3767-103-2509-1618-115-230-101-99-45-321</f>
        <v>-8908</v>
      </c>
      <c r="F25" s="158"/>
      <c r="G25" s="158"/>
    </row>
    <row r="26" spans="2:7" ht="15" thickBot="1" x14ac:dyDescent="0.25">
      <c r="B26" s="131"/>
      <c r="C26" s="146"/>
      <c r="D26" s="146"/>
      <c r="E26" s="146"/>
      <c r="F26" s="146"/>
      <c r="G26" s="146"/>
    </row>
    <row r="27" spans="2:7" ht="15" thickBot="1" x14ac:dyDescent="0.25">
      <c r="B27" s="63" t="s">
        <v>26</v>
      </c>
      <c r="C27" s="120">
        <f>SUM(C18:C25)</f>
        <v>1261</v>
      </c>
      <c r="D27" s="120">
        <f>SUM(D18:D25)</f>
        <v>653</v>
      </c>
      <c r="E27" s="120">
        <f>SUM(E18:E25)</f>
        <v>803</v>
      </c>
      <c r="F27" s="120">
        <f>SUM(F18:F25)</f>
        <v>803</v>
      </c>
      <c r="G27" s="120">
        <f>SUM(G18:G25)</f>
        <v>793</v>
      </c>
    </row>
    <row r="28" spans="2:7" x14ac:dyDescent="0.2">
      <c r="B28" s="132" t="s">
        <v>36</v>
      </c>
      <c r="C28" s="147"/>
      <c r="D28" s="147"/>
      <c r="E28" s="147"/>
      <c r="F28" s="147"/>
      <c r="G28" s="147"/>
    </row>
    <row r="29" spans="2:7" x14ac:dyDescent="0.2">
      <c r="B29" s="131" t="s">
        <v>888</v>
      </c>
      <c r="C29" s="116">
        <v>276</v>
      </c>
      <c r="D29" s="116">
        <v>242</v>
      </c>
      <c r="E29" s="116">
        <v>265</v>
      </c>
      <c r="F29" s="116">
        <v>265</v>
      </c>
      <c r="G29" s="116">
        <v>328</v>
      </c>
    </row>
    <row r="30" spans="2:7" x14ac:dyDescent="0.2">
      <c r="B30" s="131" t="s">
        <v>889</v>
      </c>
      <c r="C30" s="116">
        <v>1079</v>
      </c>
      <c r="D30" s="116">
        <v>505</v>
      </c>
      <c r="E30" s="116">
        <v>637</v>
      </c>
      <c r="F30" s="116">
        <v>637</v>
      </c>
      <c r="G30" s="116">
        <v>570</v>
      </c>
    </row>
    <row r="31" spans="2:7" x14ac:dyDescent="0.2">
      <c r="B31" s="132" t="s">
        <v>723</v>
      </c>
      <c r="C31" s="116"/>
      <c r="D31" s="116"/>
      <c r="E31" s="116"/>
      <c r="F31" s="116"/>
      <c r="G31" s="116"/>
    </row>
    <row r="32" spans="2:7" x14ac:dyDescent="0.2">
      <c r="B32" s="133" t="s">
        <v>725</v>
      </c>
      <c r="C32" s="116">
        <v>243</v>
      </c>
      <c r="D32" s="116">
        <v>182</v>
      </c>
      <c r="E32" s="116">
        <v>263</v>
      </c>
      <c r="F32" s="116">
        <v>263</v>
      </c>
      <c r="G32" s="116">
        <v>367</v>
      </c>
    </row>
    <row r="33" spans="2:7" x14ac:dyDescent="0.2">
      <c r="B33" s="133" t="s">
        <v>724</v>
      </c>
      <c r="C33" s="116">
        <v>836</v>
      </c>
      <c r="D33" s="116">
        <v>323</v>
      </c>
      <c r="E33" s="116">
        <v>374</v>
      </c>
      <c r="F33" s="116">
        <v>374</v>
      </c>
      <c r="G33" s="116">
        <v>121</v>
      </c>
    </row>
    <row r="34" spans="2:7" x14ac:dyDescent="0.2">
      <c r="B34" s="131" t="s">
        <v>25</v>
      </c>
      <c r="C34" s="150">
        <v>-94</v>
      </c>
      <c r="D34" s="150">
        <v>-94</v>
      </c>
      <c r="E34" s="150">
        <v>-99</v>
      </c>
      <c r="F34" s="150">
        <v>-99</v>
      </c>
      <c r="G34" s="150">
        <v>-105</v>
      </c>
    </row>
    <row r="35" spans="2:7" ht="15" thickBot="1" x14ac:dyDescent="0.25">
      <c r="B35" s="131"/>
      <c r="C35" s="146"/>
      <c r="D35" s="146"/>
      <c r="E35" s="146"/>
      <c r="F35" s="146"/>
      <c r="G35" s="146"/>
    </row>
    <row r="36" spans="2:7" x14ac:dyDescent="0.2">
      <c r="B36" s="144" t="s">
        <v>27</v>
      </c>
      <c r="C36" s="148">
        <v>161</v>
      </c>
      <c r="D36" s="151">
        <v>-166</v>
      </c>
      <c r="E36" s="151">
        <v>-221</v>
      </c>
      <c r="F36" s="151">
        <v>-221</v>
      </c>
      <c r="G36" s="151">
        <v>-7</v>
      </c>
    </row>
    <row r="37" spans="2:7" x14ac:dyDescent="0.2">
      <c r="B37" s="80" t="s">
        <v>28</v>
      </c>
      <c r="C37" s="127">
        <v>-660</v>
      </c>
      <c r="D37" s="127">
        <v>-478</v>
      </c>
      <c r="E37" s="127">
        <v>-486</v>
      </c>
      <c r="F37" s="127">
        <v>-486</v>
      </c>
      <c r="G37" s="127">
        <v>-464</v>
      </c>
    </row>
    <row r="38" spans="2:7" x14ac:dyDescent="0.2">
      <c r="B38" s="134" t="s">
        <v>29</v>
      </c>
      <c r="C38" s="127">
        <v>-139</v>
      </c>
      <c r="D38" s="127">
        <v>-68</v>
      </c>
      <c r="E38" s="127">
        <v>-80</v>
      </c>
      <c r="F38" s="127">
        <v>-80</v>
      </c>
      <c r="G38" s="127">
        <v>-29</v>
      </c>
    </row>
    <row r="39" spans="2:7" x14ac:dyDescent="0.2">
      <c r="B39" s="80" t="s">
        <v>747</v>
      </c>
      <c r="C39" s="127">
        <v>-1534</v>
      </c>
      <c r="D39" s="127">
        <v>-256</v>
      </c>
      <c r="E39" s="127">
        <v>-169</v>
      </c>
      <c r="F39" s="127">
        <v>-169</v>
      </c>
      <c r="G39" s="127">
        <v>-100</v>
      </c>
    </row>
    <row r="40" spans="2:7" x14ac:dyDescent="0.2">
      <c r="B40" s="45" t="s">
        <v>748</v>
      </c>
      <c r="C40" s="127">
        <v>-23</v>
      </c>
      <c r="D40" s="127">
        <v>-13</v>
      </c>
      <c r="E40" s="116">
        <v>115</v>
      </c>
      <c r="F40" s="116">
        <v>146</v>
      </c>
      <c r="G40" s="116">
        <v>0</v>
      </c>
    </row>
    <row r="41" spans="2:7" x14ac:dyDescent="0.2">
      <c r="B41" s="45" t="s">
        <v>890</v>
      </c>
      <c r="C41" s="117"/>
      <c r="D41" s="117"/>
      <c r="E41" s="117"/>
      <c r="F41" s="127">
        <v>-31</v>
      </c>
      <c r="G41" s="127">
        <v>-23</v>
      </c>
    </row>
    <row r="42" spans="2:7" ht="15" thickBot="1" x14ac:dyDescent="0.25">
      <c r="B42" s="45"/>
      <c r="C42" s="116"/>
      <c r="D42" s="116"/>
      <c r="E42" s="116"/>
      <c r="F42" s="116"/>
      <c r="G42" s="116"/>
    </row>
    <row r="43" spans="2:7" ht="15" thickBot="1" x14ac:dyDescent="0.25">
      <c r="B43" s="145" t="s">
        <v>30</v>
      </c>
      <c r="C43" s="152">
        <f>C27+SUM(C36:C37,C39:C41)</f>
        <v>-795</v>
      </c>
      <c r="D43" s="152">
        <f>D27+SUM(D36:D37,D39:D41)</f>
        <v>-260</v>
      </c>
      <c r="E43" s="120">
        <f>E27+SUM(E36:E37,E39:E41)</f>
        <v>42</v>
      </c>
      <c r="F43" s="120">
        <f>F27+SUM(F36:F37,F39:F41)</f>
        <v>42</v>
      </c>
      <c r="G43" s="120">
        <f>G27+SUM(G36:G37,G39:G41)</f>
        <v>199</v>
      </c>
    </row>
    <row r="44" spans="2:7" x14ac:dyDescent="0.2">
      <c r="B44" s="137"/>
      <c r="C44" s="121"/>
      <c r="D44" s="121"/>
      <c r="E44" s="121"/>
      <c r="F44" s="121"/>
      <c r="G44" s="121"/>
    </row>
    <row r="45" spans="2:7" x14ac:dyDescent="0.2">
      <c r="B45" s="131" t="s">
        <v>749</v>
      </c>
      <c r="C45" s="149"/>
      <c r="D45" s="149"/>
      <c r="E45" s="149"/>
      <c r="F45" s="150">
        <v>-12</v>
      </c>
      <c r="G45" s="150">
        <v>-5</v>
      </c>
    </row>
    <row r="46" spans="2:7" x14ac:dyDescent="0.2">
      <c r="B46" s="131" t="s">
        <v>717</v>
      </c>
      <c r="C46" s="149"/>
      <c r="D46" s="149"/>
      <c r="E46" s="149"/>
      <c r="F46" s="150">
        <v>-33</v>
      </c>
      <c r="G46" s="150">
        <v>-3</v>
      </c>
    </row>
    <row r="47" spans="2:7" ht="24.75" customHeight="1" x14ac:dyDescent="0.2">
      <c r="B47" s="138" t="s">
        <v>750</v>
      </c>
      <c r="C47" s="149"/>
      <c r="D47" s="149"/>
      <c r="E47" s="149"/>
      <c r="F47" s="150">
        <v>-7</v>
      </c>
      <c r="G47" s="150">
        <v>-11</v>
      </c>
    </row>
    <row r="48" spans="2:7" x14ac:dyDescent="0.2">
      <c r="B48" s="131" t="s">
        <v>67</v>
      </c>
      <c r="C48" s="127">
        <v>-38</v>
      </c>
      <c r="D48" s="116">
        <v>7</v>
      </c>
      <c r="E48" s="127">
        <v>-31</v>
      </c>
      <c r="F48" s="150">
        <v>-31</v>
      </c>
      <c r="G48" s="146">
        <v>4</v>
      </c>
    </row>
    <row r="49" spans="2:7" x14ac:dyDescent="0.2">
      <c r="B49" s="131" t="s">
        <v>924</v>
      </c>
      <c r="C49" s="127">
        <v>-29</v>
      </c>
      <c r="D49" s="127">
        <v>-94</v>
      </c>
      <c r="E49" s="127">
        <v>-52</v>
      </c>
      <c r="F49" s="149"/>
      <c r="G49" s="149"/>
    </row>
    <row r="50" spans="2:7" ht="15" thickBot="1" x14ac:dyDescent="0.25">
      <c r="B50" s="131"/>
      <c r="C50" s="116"/>
      <c r="D50" s="116"/>
      <c r="E50" s="116"/>
      <c r="F50" s="146"/>
      <c r="G50" s="146"/>
    </row>
    <row r="51" spans="2:7" ht="15" thickBot="1" x14ac:dyDescent="0.25">
      <c r="B51" s="145" t="s">
        <v>31</v>
      </c>
      <c r="C51" s="152">
        <f>SUM(C43:C49)</f>
        <v>-862</v>
      </c>
      <c r="D51" s="152">
        <f>SUM(D43:D49)</f>
        <v>-347</v>
      </c>
      <c r="E51" s="152">
        <f>SUM(E43:E49)</f>
        <v>-41</v>
      </c>
      <c r="F51" s="152">
        <f>SUM(F43:F49)</f>
        <v>-41</v>
      </c>
      <c r="G51" s="120">
        <f>SUM(G43:G49)</f>
        <v>184</v>
      </c>
    </row>
    <row r="52" spans="2:7" x14ac:dyDescent="0.2">
      <c r="B52" s="137"/>
      <c r="C52" s="121"/>
      <c r="D52" s="121"/>
      <c r="E52" s="121"/>
      <c r="F52" s="121"/>
      <c r="G52" s="121"/>
    </row>
    <row r="53" spans="2:7" x14ac:dyDescent="0.2">
      <c r="B53" s="131" t="s">
        <v>32</v>
      </c>
      <c r="C53" s="127">
        <v>-97</v>
      </c>
      <c r="D53" s="127">
        <v>-25</v>
      </c>
      <c r="E53" s="127">
        <v>-122</v>
      </c>
      <c r="F53" s="127">
        <v>-122</v>
      </c>
      <c r="G53" s="127">
        <v>-117</v>
      </c>
    </row>
    <row r="54" spans="2:7" ht="15" thickBot="1" x14ac:dyDescent="0.25">
      <c r="B54" s="131"/>
      <c r="C54" s="116"/>
      <c r="D54" s="116"/>
      <c r="E54" s="116"/>
      <c r="F54" s="116"/>
      <c r="G54" s="116"/>
    </row>
    <row r="55" spans="2:7" ht="15" thickBot="1" x14ac:dyDescent="0.25">
      <c r="B55" s="145" t="s">
        <v>33</v>
      </c>
      <c r="C55" s="152">
        <f>SUM(C51:C53)</f>
        <v>-959</v>
      </c>
      <c r="D55" s="152">
        <f>SUM(D51:D53)</f>
        <v>-372</v>
      </c>
      <c r="E55" s="152">
        <f>SUM(E51:E53)</f>
        <v>-163</v>
      </c>
      <c r="F55" s="152">
        <f>SUM(F51:F53)</f>
        <v>-163</v>
      </c>
      <c r="G55" s="120">
        <f>SUM(G51:G53)</f>
        <v>67</v>
      </c>
    </row>
    <row r="56" spans="2:7" x14ac:dyDescent="0.2">
      <c r="B56" s="137"/>
      <c r="C56" s="121"/>
      <c r="D56" s="121"/>
      <c r="E56" s="121"/>
      <c r="F56" s="121"/>
      <c r="G56" s="121"/>
    </row>
    <row r="57" spans="2:7" x14ac:dyDescent="0.2">
      <c r="B57" s="131" t="s">
        <v>34</v>
      </c>
      <c r="C57" s="116">
        <v>0</v>
      </c>
      <c r="D57" s="116">
        <v>0</v>
      </c>
      <c r="E57" s="116">
        <v>0</v>
      </c>
      <c r="F57" s="116">
        <v>0</v>
      </c>
      <c r="G57" s="116">
        <v>0</v>
      </c>
    </row>
    <row r="58" spans="2:7" ht="15" thickBot="1" x14ac:dyDescent="0.25">
      <c r="B58" s="131"/>
      <c r="C58" s="116"/>
      <c r="D58" s="116"/>
      <c r="E58" s="116"/>
      <c r="F58" s="116"/>
      <c r="G58" s="116"/>
    </row>
    <row r="59" spans="2:7" ht="15" thickBot="1" x14ac:dyDescent="0.25">
      <c r="B59" s="145" t="s">
        <v>35</v>
      </c>
      <c r="C59" s="152">
        <f>SUM(C55:C57)</f>
        <v>-959</v>
      </c>
      <c r="D59" s="152">
        <f>SUM(D55:D57)</f>
        <v>-372</v>
      </c>
      <c r="E59" s="152">
        <f>SUM(E55:E57)</f>
        <v>-163</v>
      </c>
      <c r="F59" s="152">
        <f>SUM(F55:F57)</f>
        <v>-163</v>
      </c>
      <c r="G59" s="120">
        <f>SUM(G55:G57)</f>
        <v>67</v>
      </c>
    </row>
    <row r="60" spans="2:7" x14ac:dyDescent="0.2">
      <c r="B60" s="132" t="s">
        <v>36</v>
      </c>
      <c r="C60" s="116"/>
      <c r="D60" s="116"/>
      <c r="E60" s="116"/>
      <c r="F60" s="116"/>
      <c r="G60" s="116"/>
    </row>
    <row r="61" spans="2:7" x14ac:dyDescent="0.2">
      <c r="B61" s="131" t="s">
        <v>37</v>
      </c>
      <c r="C61" s="127">
        <v>-21</v>
      </c>
      <c r="D61" s="127">
        <v>-17</v>
      </c>
      <c r="E61" s="127">
        <v>-13</v>
      </c>
      <c r="F61" s="127">
        <v>-13</v>
      </c>
      <c r="G61" s="127">
        <v>-13</v>
      </c>
    </row>
    <row r="62" spans="2:7" ht="15" thickBot="1" x14ac:dyDescent="0.25">
      <c r="B62" s="131"/>
      <c r="C62" s="116"/>
      <c r="D62" s="116"/>
      <c r="E62" s="116"/>
      <c r="F62" s="116"/>
      <c r="G62" s="116"/>
    </row>
    <row r="63" spans="2:7" ht="15" thickBot="1" x14ac:dyDescent="0.25">
      <c r="B63" s="145" t="s">
        <v>38</v>
      </c>
      <c r="C63" s="152">
        <f>C59+C61</f>
        <v>-980</v>
      </c>
      <c r="D63" s="152">
        <f>D59+D61</f>
        <v>-389</v>
      </c>
      <c r="E63" s="152">
        <f>E59+E61</f>
        <v>-176</v>
      </c>
      <c r="F63" s="152">
        <f>F59+F61</f>
        <v>-176</v>
      </c>
      <c r="G63" s="120">
        <f>G59+G61</f>
        <v>54</v>
      </c>
    </row>
    <row r="64" spans="2:7" x14ac:dyDescent="0.2">
      <c r="B64" s="137"/>
      <c r="C64" s="519"/>
      <c r="D64" s="519"/>
      <c r="E64" s="519"/>
      <c r="F64" s="519"/>
      <c r="G64" s="121"/>
    </row>
    <row r="65" spans="2:12" ht="38.25" customHeight="1" x14ac:dyDescent="0.2">
      <c r="B65" s="597" t="s">
        <v>921</v>
      </c>
      <c r="C65" s="597"/>
      <c r="D65" s="597"/>
      <c r="E65" s="597"/>
      <c r="F65" s="597"/>
      <c r="G65" s="597"/>
      <c r="H65" s="597"/>
      <c r="I65" s="597"/>
      <c r="J65" s="597"/>
      <c r="K65" s="597"/>
      <c r="L65" s="597"/>
    </row>
    <row r="66" spans="2:12" ht="25.5" customHeight="1" x14ac:dyDescent="0.2">
      <c r="B66" s="598" t="s">
        <v>39</v>
      </c>
      <c r="C66" s="598"/>
      <c r="D66" s="598"/>
      <c r="E66" s="598"/>
      <c r="F66" s="598"/>
      <c r="G66" s="598"/>
      <c r="H66" s="598"/>
      <c r="I66" s="598"/>
      <c r="J66" s="598"/>
      <c r="K66" s="598"/>
      <c r="L66" s="598"/>
    </row>
    <row r="67" spans="2:12" ht="39" customHeight="1" x14ac:dyDescent="0.2">
      <c r="B67" s="598" t="s">
        <v>631</v>
      </c>
      <c r="C67" s="598"/>
      <c r="D67" s="598"/>
      <c r="E67" s="598"/>
      <c r="F67" s="598"/>
      <c r="G67" s="598"/>
      <c r="H67" s="598"/>
      <c r="I67" s="598"/>
      <c r="J67" s="598"/>
      <c r="K67" s="598"/>
      <c r="L67" s="598"/>
    </row>
    <row r="68" spans="2:12" x14ac:dyDescent="0.2">
      <c r="B68" s="136" t="s">
        <v>878</v>
      </c>
    </row>
    <row r="69" spans="2:12" ht="39" customHeight="1" x14ac:dyDescent="0.2">
      <c r="B69" s="598" t="s">
        <v>887</v>
      </c>
      <c r="C69" s="598"/>
      <c r="D69" s="598"/>
      <c r="E69" s="598"/>
      <c r="F69" s="598"/>
      <c r="G69" s="598"/>
      <c r="H69" s="598"/>
      <c r="I69" s="598"/>
      <c r="J69" s="598"/>
      <c r="K69" s="598"/>
      <c r="L69" s="598"/>
    </row>
    <row r="70" spans="2:12" ht="36.75" customHeight="1" x14ac:dyDescent="0.2">
      <c r="B70" s="598" t="s">
        <v>923</v>
      </c>
      <c r="C70" s="598"/>
      <c r="D70" s="598"/>
      <c r="E70" s="598"/>
      <c r="F70" s="598"/>
      <c r="G70" s="598"/>
      <c r="H70" s="598"/>
      <c r="I70" s="598"/>
      <c r="J70" s="598"/>
      <c r="K70" s="598"/>
      <c r="L70" s="598"/>
    </row>
  </sheetData>
  <mergeCells count="5">
    <mergeCell ref="B65:L65"/>
    <mergeCell ref="B66:L66"/>
    <mergeCell ref="B67:L67"/>
    <mergeCell ref="B69:L69"/>
    <mergeCell ref="B70:L70"/>
  </mergeCells>
  <pageMargins left="0.7" right="0.7" top="0.75" bottom="0.75" header="0.3" footer="0.3"/>
  <pageSetup paperSize="9" scale="4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72336-0437-436B-99D8-81E4B54B3AC6}">
  <sheetPr>
    <tabColor theme="3"/>
  </sheetPr>
  <dimension ref="A7:K46"/>
  <sheetViews>
    <sheetView showGridLines="0" topLeftCell="A9" zoomScaleNormal="100" workbookViewId="0">
      <selection activeCell="B44" sqref="B44:K44"/>
    </sheetView>
  </sheetViews>
  <sheetFormatPr defaultColWidth="9.140625" defaultRowHeight="14.25" x14ac:dyDescent="0.2"/>
  <cols>
    <col min="1" max="1" width="5.7109375" style="15" customWidth="1"/>
    <col min="2" max="2" width="35.42578125" style="13" customWidth="1"/>
    <col min="3" max="7" width="11.85546875" style="13" customWidth="1"/>
    <col min="8" max="16384" width="9.140625" style="13"/>
  </cols>
  <sheetData>
    <row r="7" spans="2:7" x14ac:dyDescent="0.2">
      <c r="B7" s="107"/>
    </row>
    <row r="8" spans="2:7" ht="21" thickBot="1" x14ac:dyDescent="0.35">
      <c r="B8" s="161" t="s">
        <v>925</v>
      </c>
      <c r="C8" s="105"/>
      <c r="D8" s="105"/>
      <c r="E8" s="105"/>
      <c r="F8" s="105"/>
      <c r="G8" s="105"/>
    </row>
    <row r="9" spans="2:7" ht="15" thickBot="1" x14ac:dyDescent="0.25">
      <c r="B9" s="113" t="s">
        <v>740</v>
      </c>
      <c r="C9" s="82">
        <v>2015</v>
      </c>
      <c r="D9" s="82">
        <v>2016</v>
      </c>
      <c r="E9" s="82">
        <v>2017</v>
      </c>
      <c r="F9" s="82" t="s">
        <v>741</v>
      </c>
      <c r="G9" s="82">
        <v>2018</v>
      </c>
    </row>
    <row r="10" spans="2:7" ht="20.25" x14ac:dyDescent="0.3">
      <c r="B10" s="110"/>
      <c r="C10" s="111"/>
      <c r="D10" s="111"/>
      <c r="E10" s="111"/>
      <c r="F10" s="112"/>
      <c r="G10" s="111"/>
    </row>
    <row r="11" spans="2:7" x14ac:dyDescent="0.2">
      <c r="B11" s="105" t="s">
        <v>600</v>
      </c>
      <c r="C11" s="116">
        <v>3733</v>
      </c>
      <c r="D11" s="116">
        <v>3327</v>
      </c>
      <c r="E11" s="116">
        <v>3767</v>
      </c>
      <c r="F11" s="116">
        <v>3767</v>
      </c>
      <c r="G11" s="116">
        <v>4545</v>
      </c>
    </row>
    <row r="12" spans="2:7" x14ac:dyDescent="0.2">
      <c r="B12" s="105" t="s">
        <v>845</v>
      </c>
      <c r="C12" s="116">
        <v>253</v>
      </c>
      <c r="D12" s="116">
        <v>1276</v>
      </c>
      <c r="E12" s="116">
        <v>103</v>
      </c>
      <c r="F12" s="116">
        <v>103</v>
      </c>
      <c r="G12" s="127">
        <v>-172</v>
      </c>
    </row>
    <row r="13" spans="2:7" x14ac:dyDescent="0.2">
      <c r="B13" s="105" t="s">
        <v>599</v>
      </c>
      <c r="C13" s="116">
        <v>3471</v>
      </c>
      <c r="D13" s="116">
        <v>2968</v>
      </c>
      <c r="E13" s="116">
        <v>2509</v>
      </c>
      <c r="F13" s="116">
        <v>1359</v>
      </c>
      <c r="G13" s="116">
        <v>1159</v>
      </c>
    </row>
    <row r="14" spans="2:7" x14ac:dyDescent="0.2">
      <c r="B14" s="105" t="s">
        <v>601</v>
      </c>
      <c r="C14" s="116">
        <v>2071</v>
      </c>
      <c r="D14" s="116">
        <v>1722</v>
      </c>
      <c r="E14" s="116">
        <v>1618</v>
      </c>
      <c r="F14" s="116">
        <v>1618</v>
      </c>
      <c r="G14" s="116">
        <v>1723</v>
      </c>
    </row>
    <row r="15" spans="2:7" x14ac:dyDescent="0.2">
      <c r="B15" s="105" t="s">
        <v>602</v>
      </c>
      <c r="C15" s="116">
        <v>117</v>
      </c>
      <c r="D15" s="116">
        <v>115</v>
      </c>
      <c r="E15" s="116">
        <v>115</v>
      </c>
      <c r="F15" s="116">
        <v>115</v>
      </c>
      <c r="G15" s="116">
        <v>115</v>
      </c>
    </row>
    <row r="16" spans="2:7" x14ac:dyDescent="0.2">
      <c r="B16" s="105" t="s">
        <v>603</v>
      </c>
      <c r="C16" s="117"/>
      <c r="D16" s="117"/>
      <c r="E16" s="117"/>
      <c r="F16" s="116">
        <v>64</v>
      </c>
      <c r="G16" s="116">
        <v>49</v>
      </c>
    </row>
    <row r="17" spans="2:7" ht="15" thickBot="1" x14ac:dyDescent="0.25">
      <c r="B17" s="108"/>
      <c r="C17" s="118"/>
      <c r="D17" s="118"/>
      <c r="E17" s="118"/>
      <c r="F17" s="116"/>
      <c r="G17" s="116"/>
    </row>
    <row r="18" spans="2:7" ht="15" thickBot="1" x14ac:dyDescent="0.25">
      <c r="B18" s="81" t="s">
        <v>610</v>
      </c>
      <c r="C18" s="119"/>
      <c r="D18" s="119"/>
      <c r="E18" s="119"/>
      <c r="F18" s="120">
        <f>SUM(F11:F16)</f>
        <v>7026</v>
      </c>
      <c r="G18" s="120">
        <f>SUM(G11:G16)</f>
        <v>7419</v>
      </c>
    </row>
    <row r="19" spans="2:7" x14ac:dyDescent="0.2">
      <c r="B19" s="84"/>
      <c r="C19" s="121"/>
      <c r="D19" s="121"/>
      <c r="E19" s="121"/>
      <c r="F19" s="121"/>
      <c r="G19" s="121"/>
    </row>
    <row r="20" spans="2:7" x14ac:dyDescent="0.2">
      <c r="B20" s="105" t="s">
        <v>604</v>
      </c>
      <c r="C20" s="116">
        <v>161</v>
      </c>
      <c r="D20" s="116">
        <v>215</v>
      </c>
      <c r="E20" s="116">
        <v>230</v>
      </c>
      <c r="F20" s="116">
        <v>229</v>
      </c>
      <c r="G20" s="116">
        <v>250</v>
      </c>
    </row>
    <row r="21" spans="2:7" x14ac:dyDescent="0.2">
      <c r="B21" s="105" t="s">
        <v>605</v>
      </c>
      <c r="C21" s="116">
        <v>119</v>
      </c>
      <c r="D21" s="116">
        <v>99</v>
      </c>
      <c r="E21" s="116">
        <v>101</v>
      </c>
      <c r="F21" s="116">
        <v>101</v>
      </c>
      <c r="G21" s="116">
        <v>123</v>
      </c>
    </row>
    <row r="22" spans="2:7" x14ac:dyDescent="0.2">
      <c r="B22" s="105" t="s">
        <v>606</v>
      </c>
      <c r="C22" s="116">
        <v>107</v>
      </c>
      <c r="D22" s="116">
        <v>94</v>
      </c>
      <c r="E22" s="116">
        <v>99</v>
      </c>
      <c r="F22" s="116">
        <v>99</v>
      </c>
      <c r="G22" s="116">
        <v>114</v>
      </c>
    </row>
    <row r="23" spans="2:7" x14ac:dyDescent="0.2">
      <c r="B23" s="105" t="s">
        <v>607</v>
      </c>
      <c r="C23" s="117"/>
      <c r="D23" s="117"/>
      <c r="E23" s="117"/>
      <c r="F23" s="116">
        <v>21</v>
      </c>
      <c r="G23" s="116">
        <v>22</v>
      </c>
    </row>
    <row r="24" spans="2:7" x14ac:dyDescent="0.2">
      <c r="B24" s="105" t="s">
        <v>608</v>
      </c>
      <c r="C24" s="117"/>
      <c r="D24" s="117"/>
      <c r="E24" s="117"/>
      <c r="F24" s="116">
        <v>17</v>
      </c>
      <c r="G24" s="116">
        <v>21</v>
      </c>
    </row>
    <row r="25" spans="2:7" x14ac:dyDescent="0.2">
      <c r="B25" s="105" t="s">
        <v>603</v>
      </c>
      <c r="C25" s="117"/>
      <c r="D25" s="117"/>
      <c r="E25" s="117"/>
      <c r="F25" s="116">
        <v>105</v>
      </c>
      <c r="G25" s="116">
        <v>121</v>
      </c>
    </row>
    <row r="26" spans="2:7" ht="15" thickBot="1" x14ac:dyDescent="0.25">
      <c r="B26" s="105"/>
      <c r="C26" s="118"/>
      <c r="D26" s="118"/>
      <c r="E26" s="118"/>
      <c r="F26" s="116"/>
      <c r="G26" s="116"/>
    </row>
    <row r="27" spans="2:7" ht="15" thickBot="1" x14ac:dyDescent="0.25">
      <c r="B27" s="81" t="s">
        <v>609</v>
      </c>
      <c r="C27" s="119"/>
      <c r="D27" s="119"/>
      <c r="E27" s="119"/>
      <c r="F27" s="120">
        <f>SUM(F20:F25)</f>
        <v>572</v>
      </c>
      <c r="G27" s="120">
        <f>SUM(G20:G25)</f>
        <v>651</v>
      </c>
    </row>
    <row r="28" spans="2:7" ht="15" thickBot="1" x14ac:dyDescent="0.25">
      <c r="B28" s="108"/>
      <c r="C28" s="122"/>
      <c r="D28" s="122"/>
      <c r="E28" s="122"/>
      <c r="F28" s="122"/>
      <c r="G28" s="122"/>
    </row>
    <row r="29" spans="2:7" ht="15" thickBot="1" x14ac:dyDescent="0.25">
      <c r="B29" s="81" t="s">
        <v>611</v>
      </c>
      <c r="C29" s="123">
        <v>232</v>
      </c>
      <c r="D29" s="123">
        <v>295</v>
      </c>
      <c r="E29" s="123">
        <v>311</v>
      </c>
      <c r="F29" s="120">
        <v>311</v>
      </c>
      <c r="G29" s="120">
        <v>337</v>
      </c>
    </row>
    <row r="30" spans="2:7" ht="15" thickBot="1" x14ac:dyDescent="0.25">
      <c r="B30" s="106"/>
      <c r="C30" s="124"/>
      <c r="D30" s="124"/>
      <c r="E30" s="124"/>
      <c r="F30" s="124"/>
      <c r="G30" s="124"/>
    </row>
    <row r="31" spans="2:7" ht="15" thickBot="1" x14ac:dyDescent="0.25">
      <c r="B31" s="81" t="s">
        <v>746</v>
      </c>
      <c r="C31" s="123">
        <v>82</v>
      </c>
      <c r="D31" s="123">
        <v>44</v>
      </c>
      <c r="E31" s="123">
        <v>61</v>
      </c>
      <c r="F31" s="120">
        <v>61</v>
      </c>
      <c r="G31" s="120">
        <v>15</v>
      </c>
    </row>
    <row r="32" spans="2:7" x14ac:dyDescent="0.2">
      <c r="B32" s="84"/>
      <c r="C32" s="121"/>
      <c r="D32" s="121"/>
      <c r="E32" s="121"/>
      <c r="F32" s="121"/>
      <c r="G32" s="121"/>
    </row>
    <row r="33" spans="2:11" x14ac:dyDescent="0.2">
      <c r="B33" s="105" t="s">
        <v>612</v>
      </c>
      <c r="C33" s="117"/>
      <c r="D33" s="117"/>
      <c r="E33" s="117"/>
      <c r="F33" s="116">
        <v>20</v>
      </c>
      <c r="G33" s="116">
        <v>24</v>
      </c>
    </row>
    <row r="34" spans="2:11" x14ac:dyDescent="0.2">
      <c r="B34" s="105" t="s">
        <v>613</v>
      </c>
      <c r="C34" s="116">
        <v>62</v>
      </c>
      <c r="D34" s="116">
        <v>57</v>
      </c>
      <c r="E34" s="116">
        <v>45</v>
      </c>
      <c r="F34" s="116">
        <v>45</v>
      </c>
      <c r="G34" s="116">
        <v>40</v>
      </c>
    </row>
    <row r="35" spans="2:11" x14ac:dyDescent="0.2">
      <c r="B35" s="105" t="s">
        <v>614</v>
      </c>
      <c r="C35" s="117"/>
      <c r="D35" s="117"/>
      <c r="E35" s="117"/>
      <c r="F35" s="116">
        <v>88</v>
      </c>
      <c r="G35" s="116">
        <v>34</v>
      </c>
    </row>
    <row r="36" spans="2:11" ht="15" thickBot="1" x14ac:dyDescent="0.25">
      <c r="C36" s="125"/>
      <c r="D36" s="125"/>
      <c r="E36" s="125"/>
      <c r="F36" s="125"/>
      <c r="G36" s="125"/>
    </row>
    <row r="37" spans="2:11" ht="15" thickBot="1" x14ac:dyDescent="0.25">
      <c r="B37" s="81" t="s">
        <v>615</v>
      </c>
      <c r="C37" s="119"/>
      <c r="D37" s="119"/>
      <c r="E37" s="119"/>
      <c r="F37" s="120">
        <f>SUM(F33:F35)</f>
        <v>153</v>
      </c>
      <c r="G37" s="120">
        <f>SUM(G33:G35)</f>
        <v>98</v>
      </c>
    </row>
    <row r="38" spans="2:11" ht="15" thickBot="1" x14ac:dyDescent="0.25">
      <c r="B38" s="108"/>
      <c r="C38" s="122"/>
      <c r="D38" s="122"/>
      <c r="E38" s="122"/>
      <c r="F38" s="122"/>
      <c r="G38" s="122"/>
    </row>
    <row r="39" spans="2:11" ht="15" thickBot="1" x14ac:dyDescent="0.25">
      <c r="B39" s="81" t="s">
        <v>926</v>
      </c>
      <c r="C39" s="120">
        <f>209+23+77+138+1</f>
        <v>448</v>
      </c>
      <c r="D39" s="120">
        <f>238+43+98+22</f>
        <v>401</v>
      </c>
      <c r="E39" s="120">
        <f>203+40+78</f>
        <v>321</v>
      </c>
      <c r="F39" s="119"/>
      <c r="G39" s="119"/>
    </row>
    <row r="40" spans="2:11" ht="15" thickBot="1" x14ac:dyDescent="0.25">
      <c r="B40" s="108"/>
      <c r="C40" s="122"/>
      <c r="D40" s="122"/>
      <c r="E40" s="122"/>
      <c r="F40" s="122"/>
      <c r="G40" s="122"/>
    </row>
    <row r="41" spans="2:11" ht="15" thickBot="1" x14ac:dyDescent="0.25">
      <c r="B41" s="115" t="s">
        <v>616</v>
      </c>
      <c r="C41" s="126">
        <f>SUM(C11:C15,C20:C22,C29,C31,C34,C39)</f>
        <v>10856</v>
      </c>
      <c r="D41" s="126">
        <f>SUM(D11:D15,D20:D22,D29,D31,D34,D39)</f>
        <v>10613</v>
      </c>
      <c r="E41" s="126">
        <f>SUM(E11:E15,E20:E22,E29,E31,E34,E39)</f>
        <v>9280</v>
      </c>
      <c r="F41" s="126">
        <f>F18+F29+F27+F37+F31</f>
        <v>8123</v>
      </c>
      <c r="G41" s="126">
        <f>G18+G29+G27+G37+G31</f>
        <v>8520</v>
      </c>
    </row>
    <row r="43" spans="2:11" ht="36" customHeight="1" x14ac:dyDescent="0.2">
      <c r="B43" s="599" t="s">
        <v>927</v>
      </c>
      <c r="C43" s="599"/>
      <c r="D43" s="599"/>
      <c r="E43" s="599"/>
      <c r="F43" s="599"/>
      <c r="G43" s="599"/>
      <c r="H43" s="599"/>
      <c r="I43" s="599"/>
      <c r="J43" s="599"/>
      <c r="K43" s="599"/>
    </row>
    <row r="44" spans="2:11" ht="36" customHeight="1" x14ac:dyDescent="0.2">
      <c r="B44" s="598" t="s">
        <v>107</v>
      </c>
      <c r="C44" s="598"/>
      <c r="D44" s="598"/>
      <c r="E44" s="598"/>
      <c r="F44" s="598"/>
      <c r="G44" s="598"/>
      <c r="H44" s="598"/>
      <c r="I44" s="598"/>
      <c r="J44" s="598"/>
      <c r="K44" s="598"/>
    </row>
    <row r="46" spans="2:11" x14ac:dyDescent="0.2">
      <c r="B46" s="47"/>
    </row>
  </sheetData>
  <mergeCells count="2">
    <mergeCell ref="B44:K44"/>
    <mergeCell ref="B43:K43"/>
  </mergeCells>
  <pageMargins left="0.7" right="0.7" top="0.75" bottom="0.75" header="0.3" footer="0.3"/>
  <pageSetup paperSize="9" scale="4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17239-7824-4121-A127-D47C5C846BA3}">
  <sheetPr codeName="Foglio5">
    <tabColor theme="3"/>
  </sheetPr>
  <dimension ref="A9:K76"/>
  <sheetViews>
    <sheetView showGridLines="0" topLeftCell="A15" zoomScaleNormal="100" workbookViewId="0">
      <selection activeCell="B52" sqref="B52"/>
    </sheetView>
  </sheetViews>
  <sheetFormatPr defaultColWidth="9.140625" defaultRowHeight="14.25" x14ac:dyDescent="0.2"/>
  <cols>
    <col min="1" max="1" width="5.7109375" style="13" customWidth="1"/>
    <col min="2" max="2" width="55.140625" style="13" customWidth="1"/>
    <col min="3" max="7" width="11.85546875" style="13" customWidth="1"/>
    <col min="8" max="16384" width="9.140625" style="13"/>
  </cols>
  <sheetData>
    <row r="9" spans="2:7" ht="21" thickBot="1" x14ac:dyDescent="0.35">
      <c r="B9" s="161" t="s">
        <v>807</v>
      </c>
    </row>
    <row r="10" spans="2:7" ht="18" thickBot="1" x14ac:dyDescent="0.3">
      <c r="B10" s="113"/>
      <c r="C10" s="82">
        <v>2015</v>
      </c>
      <c r="D10" s="82" t="s">
        <v>881</v>
      </c>
      <c r="E10" s="82" t="s">
        <v>879</v>
      </c>
      <c r="F10" s="82" t="s">
        <v>776</v>
      </c>
      <c r="G10" s="82" t="s">
        <v>932</v>
      </c>
    </row>
    <row r="12" spans="2:7" ht="15" x14ac:dyDescent="0.25">
      <c r="B12" s="231" t="s">
        <v>501</v>
      </c>
      <c r="C12" s="231"/>
      <c r="D12" s="231"/>
      <c r="E12" s="231"/>
      <c r="F12" s="231"/>
      <c r="G12" s="231"/>
    </row>
    <row r="13" spans="2:7" x14ac:dyDescent="0.2">
      <c r="B13" s="45"/>
      <c r="C13" s="45"/>
      <c r="D13" s="45"/>
      <c r="E13" s="45"/>
      <c r="F13" s="45"/>
      <c r="G13" s="45"/>
    </row>
    <row r="14" spans="2:7" x14ac:dyDescent="0.2">
      <c r="B14" s="45" t="s">
        <v>808</v>
      </c>
      <c r="C14" s="154">
        <v>3678</v>
      </c>
      <c r="D14" s="154">
        <v>3937</v>
      </c>
      <c r="E14" s="154">
        <v>3657</v>
      </c>
      <c r="F14" s="154">
        <v>3662</v>
      </c>
      <c r="G14" s="154">
        <v>3647</v>
      </c>
    </row>
    <row r="15" spans="2:7" x14ac:dyDescent="0.2">
      <c r="B15" s="45" t="s">
        <v>928</v>
      </c>
      <c r="C15" s="154">
        <f>480+118</f>
        <v>598</v>
      </c>
      <c r="D15" s="154">
        <f>396+128</f>
        <v>524</v>
      </c>
      <c r="E15" s="154">
        <f>322+154</f>
        <v>476</v>
      </c>
      <c r="F15" s="154">
        <v>476</v>
      </c>
      <c r="G15" s="154">
        <v>617</v>
      </c>
    </row>
    <row r="16" spans="2:7" x14ac:dyDescent="0.2">
      <c r="B16" s="45" t="s">
        <v>809</v>
      </c>
      <c r="C16" s="154">
        <v>2355</v>
      </c>
      <c r="D16" s="154">
        <v>2357</v>
      </c>
      <c r="E16" s="154">
        <v>2313</v>
      </c>
      <c r="F16" s="154">
        <v>2313</v>
      </c>
      <c r="G16" s="154">
        <v>2403</v>
      </c>
    </row>
    <row r="17" spans="2:7" x14ac:dyDescent="0.2">
      <c r="B17" s="45" t="s">
        <v>833</v>
      </c>
      <c r="C17" s="154">
        <v>702</v>
      </c>
      <c r="D17" s="154">
        <v>498</v>
      </c>
      <c r="E17" s="154">
        <v>467</v>
      </c>
      <c r="F17" s="154">
        <v>467</v>
      </c>
      <c r="G17" s="154">
        <v>461</v>
      </c>
    </row>
    <row r="18" spans="2:7" x14ac:dyDescent="0.2">
      <c r="B18" s="45" t="s">
        <v>929</v>
      </c>
      <c r="C18" s="154">
        <v>225</v>
      </c>
      <c r="D18" s="154">
        <v>201</v>
      </c>
      <c r="E18" s="154">
        <v>144</v>
      </c>
      <c r="F18" s="154">
        <v>144</v>
      </c>
      <c r="G18" s="154">
        <v>170</v>
      </c>
    </row>
    <row r="19" spans="2:7" x14ac:dyDescent="0.2">
      <c r="B19" s="45" t="s">
        <v>810</v>
      </c>
      <c r="C19" s="154">
        <f>6+67+167+31+280-225</f>
        <v>326</v>
      </c>
      <c r="D19" s="154">
        <f>5+104+158+94+310-201</f>
        <v>470</v>
      </c>
      <c r="E19" s="154">
        <f>5+67+1+80+302-144</f>
        <v>311</v>
      </c>
      <c r="F19" s="154">
        <f>64+4+80+34+124</f>
        <v>306</v>
      </c>
      <c r="G19" s="154">
        <f>71+3+66+34+121+3</f>
        <v>298</v>
      </c>
    </row>
    <row r="20" spans="2:7" ht="15" thickBot="1" x14ac:dyDescent="0.25">
      <c r="B20" s="45"/>
      <c r="C20" s="154"/>
      <c r="D20" s="154"/>
      <c r="E20" s="154"/>
      <c r="F20" s="154"/>
      <c r="G20" s="154"/>
    </row>
    <row r="21" spans="2:7" ht="15" thickBot="1" x14ac:dyDescent="0.25">
      <c r="B21" s="64" t="s">
        <v>811</v>
      </c>
      <c r="C21" s="153">
        <f t="shared" ref="C21:F21" si="0">SUM(C14:C20)</f>
        <v>7884</v>
      </c>
      <c r="D21" s="153">
        <f t="shared" si="0"/>
        <v>7987</v>
      </c>
      <c r="E21" s="153">
        <f t="shared" si="0"/>
        <v>7368</v>
      </c>
      <c r="F21" s="153">
        <f t="shared" si="0"/>
        <v>7368</v>
      </c>
      <c r="G21" s="153">
        <f>SUM(G14:G20)</f>
        <v>7596</v>
      </c>
    </row>
    <row r="22" spans="2:7" x14ac:dyDescent="0.2">
      <c r="B22" s="191"/>
      <c r="C22" s="261"/>
      <c r="D22" s="261"/>
      <c r="E22" s="261"/>
      <c r="F22" s="261"/>
      <c r="G22" s="261"/>
    </row>
    <row r="23" spans="2:7" x14ac:dyDescent="0.2">
      <c r="B23" s="45" t="s">
        <v>581</v>
      </c>
      <c r="C23" s="154">
        <v>253</v>
      </c>
      <c r="D23" s="154">
        <v>180</v>
      </c>
      <c r="E23" s="154">
        <v>182</v>
      </c>
      <c r="F23" s="154">
        <v>182</v>
      </c>
      <c r="G23" s="154">
        <v>223</v>
      </c>
    </row>
    <row r="24" spans="2:7" x14ac:dyDescent="0.2">
      <c r="B24" s="45" t="s">
        <v>839</v>
      </c>
      <c r="C24" s="154">
        <v>2367</v>
      </c>
      <c r="D24" s="154">
        <v>1877</v>
      </c>
      <c r="E24" s="154">
        <v>1656</v>
      </c>
      <c r="F24" s="154">
        <v>1656</v>
      </c>
      <c r="G24" s="154">
        <v>1654</v>
      </c>
    </row>
    <row r="25" spans="2:7" x14ac:dyDescent="0.2">
      <c r="B25" s="45" t="s">
        <v>813</v>
      </c>
      <c r="C25" s="154">
        <v>20</v>
      </c>
      <c r="D25" s="154">
        <v>8</v>
      </c>
      <c r="E25" s="154">
        <v>8</v>
      </c>
      <c r="F25" s="154">
        <v>25</v>
      </c>
      <c r="G25" s="154">
        <v>43</v>
      </c>
    </row>
    <row r="26" spans="2:7" x14ac:dyDescent="0.2">
      <c r="B26" s="45" t="s">
        <v>880</v>
      </c>
      <c r="C26" s="154">
        <v>113</v>
      </c>
      <c r="D26" s="154">
        <v>22</v>
      </c>
      <c r="E26" s="154">
        <v>6</v>
      </c>
      <c r="F26" s="154">
        <v>6</v>
      </c>
      <c r="G26" s="154">
        <v>3</v>
      </c>
    </row>
    <row r="27" spans="2:7" x14ac:dyDescent="0.2">
      <c r="B27" s="45" t="s">
        <v>588</v>
      </c>
      <c r="C27" s="154">
        <v>279</v>
      </c>
      <c r="D27" s="154">
        <v>206</v>
      </c>
      <c r="E27" s="154">
        <v>260</v>
      </c>
      <c r="F27" s="154">
        <v>260</v>
      </c>
      <c r="G27" s="154">
        <v>149</v>
      </c>
    </row>
    <row r="28" spans="2:7" x14ac:dyDescent="0.2">
      <c r="B28" s="45" t="s">
        <v>929</v>
      </c>
      <c r="C28" s="154">
        <v>1140</v>
      </c>
      <c r="D28" s="154">
        <v>758</v>
      </c>
      <c r="E28" s="154">
        <v>316</v>
      </c>
      <c r="F28" s="154">
        <v>316</v>
      </c>
      <c r="G28" s="154">
        <v>530</v>
      </c>
    </row>
    <row r="29" spans="2:7" x14ac:dyDescent="0.2">
      <c r="B29" s="45" t="s">
        <v>840</v>
      </c>
      <c r="C29" s="154">
        <f>1654-1140</f>
        <v>514</v>
      </c>
      <c r="D29" s="154">
        <f>1390-758</f>
        <v>632</v>
      </c>
      <c r="E29" s="154">
        <f>840-316</f>
        <v>524</v>
      </c>
      <c r="F29" s="154">
        <v>507</v>
      </c>
      <c r="G29" s="154">
        <v>387</v>
      </c>
    </row>
    <row r="30" spans="2:7" ht="15" thickBot="1" x14ac:dyDescent="0.25">
      <c r="B30" s="45"/>
      <c r="C30" s="154"/>
      <c r="D30" s="154"/>
      <c r="E30" s="154"/>
      <c r="F30" s="154"/>
      <c r="G30" s="154"/>
    </row>
    <row r="31" spans="2:7" ht="15" thickBot="1" x14ac:dyDescent="0.25">
      <c r="B31" s="64" t="s">
        <v>815</v>
      </c>
      <c r="C31" s="153">
        <f t="shared" ref="C31:F31" si="1">SUM(C23:C30)</f>
        <v>4686</v>
      </c>
      <c r="D31" s="153">
        <f t="shared" si="1"/>
        <v>3683</v>
      </c>
      <c r="E31" s="153">
        <f t="shared" si="1"/>
        <v>2952</v>
      </c>
      <c r="F31" s="153">
        <f t="shared" si="1"/>
        <v>2952</v>
      </c>
      <c r="G31" s="153">
        <f>SUM(G23:G30)</f>
        <v>2989</v>
      </c>
    </row>
    <row r="32" spans="2:7" ht="15" thickBot="1" x14ac:dyDescent="0.25">
      <c r="B32" s="191"/>
      <c r="C32" s="261"/>
      <c r="D32" s="261"/>
      <c r="E32" s="261"/>
      <c r="F32" s="261"/>
      <c r="G32" s="261"/>
    </row>
    <row r="33" spans="2:7" ht="15" thickBot="1" x14ac:dyDescent="0.25">
      <c r="B33" s="64" t="s">
        <v>816</v>
      </c>
      <c r="C33" s="153">
        <v>212</v>
      </c>
      <c r="D33" s="153">
        <v>0</v>
      </c>
      <c r="E33" s="153">
        <v>0</v>
      </c>
      <c r="F33" s="153">
        <v>0</v>
      </c>
      <c r="G33" s="153">
        <v>0</v>
      </c>
    </row>
    <row r="34" spans="2:7" ht="15" thickBot="1" x14ac:dyDescent="0.25">
      <c r="B34" s="191"/>
      <c r="C34" s="261"/>
      <c r="D34" s="261"/>
      <c r="E34" s="261"/>
      <c r="F34" s="261"/>
      <c r="G34" s="261"/>
    </row>
    <row r="35" spans="2:7" ht="15" thickBot="1" x14ac:dyDescent="0.25">
      <c r="B35" s="490" t="s">
        <v>45</v>
      </c>
      <c r="C35" s="491">
        <f>C21+C31+C33</f>
        <v>12782</v>
      </c>
      <c r="D35" s="491">
        <f t="shared" ref="D35:G35" si="2">D21+D31+D33</f>
        <v>11670</v>
      </c>
      <c r="E35" s="491">
        <f t="shared" si="2"/>
        <v>10320</v>
      </c>
      <c r="F35" s="491">
        <f t="shared" si="2"/>
        <v>10320</v>
      </c>
      <c r="G35" s="491">
        <f t="shared" si="2"/>
        <v>10585</v>
      </c>
    </row>
    <row r="36" spans="2:7" x14ac:dyDescent="0.2">
      <c r="B36" s="45"/>
      <c r="C36" s="154"/>
      <c r="D36" s="154"/>
      <c r="E36" s="154"/>
      <c r="F36" s="154"/>
      <c r="G36" s="154"/>
    </row>
    <row r="37" spans="2:7" x14ac:dyDescent="0.2">
      <c r="B37" s="213" t="s">
        <v>817</v>
      </c>
      <c r="C37" s="492"/>
      <c r="D37" s="492"/>
      <c r="E37" s="492"/>
      <c r="F37" s="492"/>
      <c r="G37" s="492"/>
    </row>
    <row r="38" spans="2:7" x14ac:dyDescent="0.2">
      <c r="B38" s="45"/>
      <c r="C38" s="154"/>
      <c r="D38" s="154"/>
      <c r="E38" s="154"/>
      <c r="F38" s="154"/>
      <c r="G38" s="154"/>
    </row>
    <row r="39" spans="2:7" x14ac:dyDescent="0.2">
      <c r="B39" s="45" t="s">
        <v>643</v>
      </c>
      <c r="C39" s="154">
        <v>5292</v>
      </c>
      <c r="D39" s="154">
        <v>5377</v>
      </c>
      <c r="E39" s="154">
        <v>5377</v>
      </c>
      <c r="F39" s="154">
        <v>5377</v>
      </c>
      <c r="G39" s="154">
        <v>5377</v>
      </c>
    </row>
    <row r="40" spans="2:7" x14ac:dyDescent="0.2">
      <c r="B40" s="45" t="s">
        <v>834</v>
      </c>
      <c r="C40" s="154">
        <v>1790</v>
      </c>
      <c r="D40" s="154">
        <v>988</v>
      </c>
      <c r="E40" s="154">
        <v>601</v>
      </c>
      <c r="F40" s="154">
        <v>601</v>
      </c>
      <c r="G40" s="154">
        <v>389</v>
      </c>
    </row>
    <row r="41" spans="2:7" x14ac:dyDescent="0.2">
      <c r="B41" s="45" t="s">
        <v>820</v>
      </c>
      <c r="C41" s="155">
        <v>-663</v>
      </c>
      <c r="D41" s="155">
        <v>-21</v>
      </c>
      <c r="E41" s="154">
        <v>113</v>
      </c>
      <c r="F41" s="154">
        <v>113</v>
      </c>
      <c r="G41" s="154">
        <v>66</v>
      </c>
    </row>
    <row r="42" spans="2:7" x14ac:dyDescent="0.2">
      <c r="B42" s="45" t="s">
        <v>835</v>
      </c>
      <c r="C42" s="155">
        <v>-980</v>
      </c>
      <c r="D42" s="155">
        <v>-389</v>
      </c>
      <c r="E42" s="155">
        <v>-176</v>
      </c>
      <c r="F42" s="155">
        <v>-176</v>
      </c>
      <c r="G42" s="154">
        <v>54</v>
      </c>
    </row>
    <row r="43" spans="2:7" ht="15" thickBot="1" x14ac:dyDescent="0.25">
      <c r="B43" s="45"/>
      <c r="C43" s="154"/>
      <c r="D43" s="154"/>
      <c r="E43" s="154"/>
      <c r="F43" s="154"/>
      <c r="G43" s="154"/>
    </row>
    <row r="44" spans="2:7" ht="31.5" customHeight="1" thickBot="1" x14ac:dyDescent="0.25">
      <c r="B44" s="489" t="s">
        <v>846</v>
      </c>
      <c r="C44" s="153">
        <f t="shared" ref="C44:F44" si="3">SUM(C39:C43)</f>
        <v>5439</v>
      </c>
      <c r="D44" s="153">
        <f t="shared" si="3"/>
        <v>5955</v>
      </c>
      <c r="E44" s="153">
        <f t="shared" si="3"/>
        <v>5915</v>
      </c>
      <c r="F44" s="153">
        <f t="shared" si="3"/>
        <v>5915</v>
      </c>
      <c r="G44" s="153">
        <f>SUM(G39:G43)</f>
        <v>5886</v>
      </c>
    </row>
    <row r="45" spans="2:7" x14ac:dyDescent="0.2">
      <c r="B45" s="191"/>
      <c r="C45" s="261"/>
      <c r="D45" s="261"/>
      <c r="E45" s="261"/>
      <c r="F45" s="261"/>
      <c r="G45" s="261"/>
    </row>
    <row r="46" spans="2:7" x14ac:dyDescent="0.2">
      <c r="B46" s="45" t="s">
        <v>837</v>
      </c>
      <c r="C46" s="154">
        <v>437</v>
      </c>
      <c r="D46" s="154">
        <v>310</v>
      </c>
      <c r="E46" s="154">
        <v>288</v>
      </c>
      <c r="F46" s="154">
        <v>288</v>
      </c>
      <c r="G46" s="154">
        <v>255</v>
      </c>
    </row>
    <row r="47" spans="2:7" ht="15" thickBot="1" x14ac:dyDescent="0.25">
      <c r="B47" s="191"/>
      <c r="C47" s="261"/>
      <c r="D47" s="261"/>
      <c r="E47" s="261"/>
      <c r="F47" s="261"/>
      <c r="G47" s="261"/>
    </row>
    <row r="48" spans="2:7" ht="15" thickBot="1" x14ac:dyDescent="0.25">
      <c r="B48" s="64" t="s">
        <v>646</v>
      </c>
      <c r="C48" s="153">
        <f t="shared" ref="C48:F48" si="4">C44+C46</f>
        <v>5876</v>
      </c>
      <c r="D48" s="153">
        <f t="shared" si="4"/>
        <v>6265</v>
      </c>
      <c r="E48" s="153">
        <f t="shared" si="4"/>
        <v>6203</v>
      </c>
      <c r="F48" s="153">
        <f t="shared" si="4"/>
        <v>6203</v>
      </c>
      <c r="G48" s="153">
        <f>G44+G46</f>
        <v>6141</v>
      </c>
    </row>
    <row r="49" spans="2:7" x14ac:dyDescent="0.2">
      <c r="B49" s="191"/>
      <c r="C49" s="261"/>
      <c r="D49" s="261"/>
      <c r="E49" s="261"/>
      <c r="F49" s="261"/>
      <c r="G49" s="261"/>
    </row>
    <row r="50" spans="2:7" x14ac:dyDescent="0.2">
      <c r="B50" s="45" t="s">
        <v>585</v>
      </c>
      <c r="C50" s="154">
        <v>31</v>
      </c>
      <c r="D50" s="154">
        <v>44</v>
      </c>
      <c r="E50" s="154">
        <v>42</v>
      </c>
      <c r="F50" s="154">
        <v>42</v>
      </c>
      <c r="G50" s="154">
        <v>40</v>
      </c>
    </row>
    <row r="51" spans="2:7" x14ac:dyDescent="0.2">
      <c r="B51" s="45" t="s">
        <v>821</v>
      </c>
      <c r="C51" s="154">
        <v>32</v>
      </c>
      <c r="D51" s="154">
        <v>52</v>
      </c>
      <c r="E51" s="154">
        <v>76</v>
      </c>
      <c r="F51" s="154">
        <v>76</v>
      </c>
      <c r="G51" s="154">
        <v>120</v>
      </c>
    </row>
    <row r="52" spans="2:7" x14ac:dyDescent="0.2">
      <c r="B52" s="45" t="s">
        <v>586</v>
      </c>
      <c r="C52" s="154">
        <v>1123</v>
      </c>
      <c r="D52" s="154">
        <v>1142</v>
      </c>
      <c r="E52" s="154">
        <v>1249</v>
      </c>
      <c r="F52" s="154">
        <f>692+252+58+247</f>
        <v>1249</v>
      </c>
      <c r="G52" s="154">
        <f>716+211+29+250</f>
        <v>1206</v>
      </c>
    </row>
    <row r="53" spans="2:7" x14ac:dyDescent="0.2">
      <c r="B53" s="45" t="s">
        <v>691</v>
      </c>
      <c r="C53" s="154">
        <v>600</v>
      </c>
      <c r="D53" s="154">
        <v>0</v>
      </c>
      <c r="E53" s="154">
        <v>0</v>
      </c>
      <c r="F53" s="154">
        <v>0</v>
      </c>
      <c r="G53" s="154">
        <v>0</v>
      </c>
    </row>
    <row r="54" spans="2:7" x14ac:dyDescent="0.2">
      <c r="B54" s="45" t="s">
        <v>822</v>
      </c>
      <c r="C54" s="154">
        <v>640</v>
      </c>
      <c r="D54" s="154">
        <v>215</v>
      </c>
      <c r="E54" s="154">
        <v>221</v>
      </c>
      <c r="F54" s="154">
        <v>221</v>
      </c>
      <c r="G54" s="154">
        <v>353</v>
      </c>
    </row>
    <row r="55" spans="2:7" x14ac:dyDescent="0.2">
      <c r="B55" s="45" t="s">
        <v>929</v>
      </c>
      <c r="C55" s="154">
        <v>314</v>
      </c>
      <c r="D55" s="154">
        <v>74</v>
      </c>
      <c r="E55" s="154">
        <v>65</v>
      </c>
      <c r="F55" s="154">
        <v>65</v>
      </c>
      <c r="G55" s="154">
        <v>168</v>
      </c>
    </row>
    <row r="56" spans="2:7" x14ac:dyDescent="0.2">
      <c r="B56" s="45" t="s">
        <v>824</v>
      </c>
      <c r="C56" s="154">
        <v>0</v>
      </c>
      <c r="D56" s="154">
        <v>0</v>
      </c>
      <c r="E56" s="154">
        <v>0</v>
      </c>
      <c r="F56" s="154">
        <v>0</v>
      </c>
      <c r="G56" s="154">
        <v>1</v>
      </c>
    </row>
    <row r="57" spans="2:7" ht="15" thickBot="1" x14ac:dyDescent="0.25">
      <c r="B57" s="45"/>
      <c r="C57" s="154"/>
      <c r="D57" s="154"/>
      <c r="E57" s="154"/>
      <c r="F57" s="154"/>
      <c r="G57" s="154"/>
    </row>
    <row r="58" spans="2:7" ht="15" thickBot="1" x14ac:dyDescent="0.25">
      <c r="B58" s="64" t="s">
        <v>825</v>
      </c>
      <c r="C58" s="153">
        <f>SUM(C50:C57)</f>
        <v>2740</v>
      </c>
      <c r="D58" s="153">
        <f>SUM(D50:D57)</f>
        <v>1527</v>
      </c>
      <c r="E58" s="153">
        <f>SUM(E50:E57)</f>
        <v>1653</v>
      </c>
      <c r="F58" s="153">
        <f>SUM(F50:F57)</f>
        <v>1653</v>
      </c>
      <c r="G58" s="153">
        <f>SUM(G50:G57)</f>
        <v>1888</v>
      </c>
    </row>
    <row r="59" spans="2:7" x14ac:dyDescent="0.2">
      <c r="B59" s="191"/>
      <c r="C59" s="261"/>
      <c r="D59" s="261"/>
      <c r="E59" s="261"/>
      <c r="F59" s="261"/>
      <c r="G59" s="261"/>
    </row>
    <row r="60" spans="2:7" x14ac:dyDescent="0.2">
      <c r="B60" s="45" t="s">
        <v>841</v>
      </c>
      <c r="C60" s="154">
        <v>1623</v>
      </c>
      <c r="D60" s="154">
        <v>1695</v>
      </c>
      <c r="E60" s="154">
        <v>1696</v>
      </c>
      <c r="F60" s="154">
        <v>1696</v>
      </c>
      <c r="G60" s="154">
        <v>1580</v>
      </c>
    </row>
    <row r="61" spans="2:7" x14ac:dyDescent="0.2">
      <c r="B61" s="45" t="s">
        <v>836</v>
      </c>
      <c r="C61" s="154">
        <v>25</v>
      </c>
      <c r="D61" s="154">
        <v>7</v>
      </c>
      <c r="E61" s="154">
        <v>19</v>
      </c>
      <c r="F61" s="154">
        <v>52</v>
      </c>
      <c r="G61" s="154">
        <v>65</v>
      </c>
    </row>
    <row r="62" spans="2:7" x14ac:dyDescent="0.2">
      <c r="B62" s="45" t="s">
        <v>691</v>
      </c>
      <c r="C62" s="154">
        <v>28</v>
      </c>
      <c r="D62" s="154">
        <v>615</v>
      </c>
      <c r="E62" s="154">
        <v>4</v>
      </c>
      <c r="F62" s="154">
        <v>4</v>
      </c>
      <c r="G62" s="154">
        <v>0</v>
      </c>
    </row>
    <row r="63" spans="2:7" x14ac:dyDescent="0.2">
      <c r="B63" s="45" t="s">
        <v>828</v>
      </c>
      <c r="C63" s="154">
        <v>306</v>
      </c>
      <c r="D63" s="154">
        <v>460</v>
      </c>
      <c r="E63" s="154">
        <v>157</v>
      </c>
      <c r="F63" s="154">
        <v>157</v>
      </c>
      <c r="G63" s="154">
        <v>218</v>
      </c>
    </row>
    <row r="64" spans="2:7" x14ac:dyDescent="0.2">
      <c r="B64" s="45" t="s">
        <v>929</v>
      </c>
      <c r="C64" s="154">
        <v>1623</v>
      </c>
      <c r="D64" s="154">
        <v>730</v>
      </c>
      <c r="E64" s="154">
        <v>260</v>
      </c>
      <c r="F64" s="154">
        <v>260</v>
      </c>
      <c r="G64" s="154">
        <v>471</v>
      </c>
    </row>
    <row r="65" spans="1:11" x14ac:dyDescent="0.2">
      <c r="B65" s="45" t="s">
        <v>842</v>
      </c>
      <c r="C65" s="154">
        <f>2177-1623</f>
        <v>554</v>
      </c>
      <c r="D65" s="154">
        <f>1101-730</f>
        <v>371</v>
      </c>
      <c r="E65" s="154">
        <f>588-260</f>
        <v>328</v>
      </c>
      <c r="F65" s="154">
        <f>295</f>
        <v>295</v>
      </c>
      <c r="G65" s="154">
        <f>222</f>
        <v>222</v>
      </c>
    </row>
    <row r="66" spans="1:11" ht="15" thickBot="1" x14ac:dyDescent="0.25">
      <c r="B66" s="45"/>
      <c r="C66" s="154"/>
      <c r="D66" s="154"/>
      <c r="E66" s="154"/>
      <c r="F66" s="154"/>
      <c r="G66" s="154"/>
    </row>
    <row r="67" spans="1:11" ht="15" thickBot="1" x14ac:dyDescent="0.25">
      <c r="B67" s="64" t="s">
        <v>830</v>
      </c>
      <c r="C67" s="153">
        <f t="shared" ref="C67:F67" si="5">SUM(C60:C65)</f>
        <v>4159</v>
      </c>
      <c r="D67" s="153">
        <f t="shared" si="5"/>
        <v>3878</v>
      </c>
      <c r="E67" s="153">
        <f t="shared" si="5"/>
        <v>2464</v>
      </c>
      <c r="F67" s="153">
        <f t="shared" si="5"/>
        <v>2464</v>
      </c>
      <c r="G67" s="153">
        <f>SUM(G60:G65)</f>
        <v>2556</v>
      </c>
    </row>
    <row r="68" spans="1:11" ht="15" thickBot="1" x14ac:dyDescent="0.25">
      <c r="B68" s="191"/>
      <c r="C68" s="261"/>
      <c r="D68" s="261"/>
      <c r="E68" s="261"/>
      <c r="F68" s="261"/>
      <c r="G68" s="261"/>
    </row>
    <row r="69" spans="1:11" ht="15" thickBot="1" x14ac:dyDescent="0.25">
      <c r="B69" s="64" t="s">
        <v>831</v>
      </c>
      <c r="C69" s="153">
        <v>7</v>
      </c>
      <c r="D69" s="153">
        <v>0</v>
      </c>
      <c r="E69" s="153">
        <v>0</v>
      </c>
      <c r="F69" s="153">
        <v>0</v>
      </c>
      <c r="G69" s="153">
        <v>0</v>
      </c>
    </row>
    <row r="70" spans="1:11" ht="15" thickBot="1" x14ac:dyDescent="0.25">
      <c r="B70" s="191"/>
      <c r="C70" s="261"/>
      <c r="D70" s="261"/>
      <c r="E70" s="261"/>
      <c r="F70" s="261"/>
      <c r="G70" s="261"/>
    </row>
    <row r="71" spans="1:11" ht="15" thickBot="1" x14ac:dyDescent="0.25">
      <c r="B71" s="490" t="s">
        <v>832</v>
      </c>
      <c r="C71" s="491">
        <f>C48+C58+C67+C69</f>
        <v>12782</v>
      </c>
      <c r="D71" s="491">
        <f t="shared" ref="D71:G71" si="6">D48+D58+D67+D69</f>
        <v>11670</v>
      </c>
      <c r="E71" s="491">
        <f t="shared" si="6"/>
        <v>10320</v>
      </c>
      <c r="F71" s="491">
        <f t="shared" si="6"/>
        <v>10320</v>
      </c>
      <c r="G71" s="491">
        <f t="shared" si="6"/>
        <v>10585</v>
      </c>
    </row>
    <row r="72" spans="1:11" x14ac:dyDescent="0.2">
      <c r="C72" s="125">
        <f>+C71-C35</f>
        <v>0</v>
      </c>
    </row>
    <row r="73" spans="1:11" ht="27.75" customHeight="1" x14ac:dyDescent="0.2">
      <c r="A73" s="533"/>
      <c r="B73" s="600" t="s">
        <v>39</v>
      </c>
      <c r="C73" s="600"/>
      <c r="D73" s="600"/>
      <c r="E73" s="600"/>
      <c r="F73" s="600"/>
      <c r="G73" s="600"/>
      <c r="H73" s="600"/>
      <c r="I73" s="600"/>
      <c r="J73" s="600"/>
      <c r="K73" s="600"/>
    </row>
    <row r="74" spans="1:11" ht="39.75" customHeight="1" x14ac:dyDescent="0.2">
      <c r="A74" s="533"/>
      <c r="B74" s="600" t="s">
        <v>838</v>
      </c>
      <c r="C74" s="600"/>
      <c r="D74" s="600"/>
      <c r="E74" s="600"/>
      <c r="F74" s="600"/>
      <c r="G74" s="600"/>
      <c r="H74" s="600"/>
      <c r="I74" s="600"/>
      <c r="J74" s="600"/>
      <c r="K74" s="600"/>
    </row>
    <row r="75" spans="1:11" ht="27" customHeight="1" x14ac:dyDescent="0.2">
      <c r="A75" s="533"/>
      <c r="B75" s="600" t="s">
        <v>930</v>
      </c>
      <c r="C75" s="600"/>
      <c r="D75" s="600"/>
      <c r="E75" s="600"/>
      <c r="F75" s="600"/>
      <c r="G75" s="600"/>
      <c r="H75" s="600"/>
      <c r="I75" s="600"/>
      <c r="J75" s="600"/>
      <c r="K75" s="600"/>
    </row>
    <row r="76" spans="1:11" ht="15.75" customHeight="1" x14ac:dyDescent="0.2">
      <c r="A76" s="533"/>
      <c r="B76" s="601" t="s">
        <v>626</v>
      </c>
      <c r="C76" s="601"/>
      <c r="D76" s="601"/>
      <c r="E76" s="601"/>
      <c r="F76" s="601"/>
      <c r="G76" s="601"/>
      <c r="H76" s="601"/>
      <c r="I76" s="601"/>
      <c r="J76" s="601"/>
      <c r="K76" s="601"/>
    </row>
  </sheetData>
  <mergeCells count="4">
    <mergeCell ref="B73:K73"/>
    <mergeCell ref="B74:K74"/>
    <mergeCell ref="B75:K75"/>
    <mergeCell ref="B76:K76"/>
  </mergeCells>
  <pageMargins left="0.7" right="0.7" top="0.75" bottom="0.75" header="0.3" footer="0.3"/>
  <pageSetup paperSize="9" scale="4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ACA1C-D6E9-4741-9437-FB75E52D3660}">
  <sheetPr codeName="Foglio6">
    <tabColor theme="3"/>
  </sheetPr>
  <dimension ref="A4:K40"/>
  <sheetViews>
    <sheetView showGridLines="0" zoomScaleNormal="100" workbookViewId="0">
      <selection activeCell="B39" sqref="B39:K39"/>
    </sheetView>
  </sheetViews>
  <sheetFormatPr defaultColWidth="9.140625" defaultRowHeight="14.25" x14ac:dyDescent="0.2"/>
  <cols>
    <col min="1" max="1" width="5.7109375" style="13" customWidth="1"/>
    <col min="2" max="2" width="38.85546875" style="3" customWidth="1"/>
    <col min="3" max="5" width="12" style="3" customWidth="1"/>
    <col min="6" max="6" width="13.28515625" style="3" customWidth="1"/>
    <col min="7" max="7" width="12" style="3" customWidth="1"/>
    <col min="8" max="16384" width="9.140625" style="3"/>
  </cols>
  <sheetData>
    <row r="4" spans="2:7" x14ac:dyDescent="0.2">
      <c r="B4" s="2"/>
      <c r="C4" s="2"/>
      <c r="D4" s="2"/>
      <c r="E4" s="2"/>
      <c r="F4" s="2"/>
      <c r="G4" s="2"/>
    </row>
    <row r="5" spans="2:7" x14ac:dyDescent="0.2">
      <c r="B5" s="10"/>
      <c r="C5" s="2"/>
      <c r="D5" s="2"/>
      <c r="E5" s="2"/>
      <c r="F5" s="2"/>
      <c r="G5" s="2"/>
    </row>
    <row r="6" spans="2:7" x14ac:dyDescent="0.2">
      <c r="B6" s="10"/>
      <c r="C6" s="2"/>
      <c r="D6" s="2"/>
      <c r="E6" s="2"/>
      <c r="F6" s="2"/>
      <c r="G6" s="2"/>
    </row>
    <row r="7" spans="2:7" x14ac:dyDescent="0.2">
      <c r="C7" s="2"/>
      <c r="D7" s="2"/>
      <c r="E7" s="2"/>
      <c r="F7" s="2"/>
      <c r="G7" s="2"/>
    </row>
    <row r="8" spans="2:7" ht="15" x14ac:dyDescent="0.2">
      <c r="C8" s="7"/>
      <c r="D8" s="7"/>
      <c r="E8" s="7"/>
      <c r="F8" s="8"/>
      <c r="G8" s="7"/>
    </row>
    <row r="9" spans="2:7" ht="24" thickBot="1" x14ac:dyDescent="0.4">
      <c r="B9" s="9" t="s">
        <v>773</v>
      </c>
      <c r="C9" s="5"/>
      <c r="D9" s="5"/>
      <c r="E9" s="5"/>
      <c r="F9" s="5"/>
      <c r="G9" s="5"/>
    </row>
    <row r="10" spans="2:7" ht="14.25" customHeight="1" thickBot="1" x14ac:dyDescent="0.25">
      <c r="B10" s="58" t="s">
        <v>17</v>
      </c>
      <c r="C10" s="59">
        <v>2015</v>
      </c>
      <c r="D10" s="59" t="s">
        <v>751</v>
      </c>
      <c r="E10" s="59">
        <v>2017</v>
      </c>
      <c r="F10" s="59" t="s">
        <v>752</v>
      </c>
      <c r="G10" s="59" t="s">
        <v>931</v>
      </c>
    </row>
    <row r="11" spans="2:7" ht="14.25" customHeight="1" thickBot="1" x14ac:dyDescent="0.25">
      <c r="B11" s="60"/>
      <c r="C11" s="61"/>
      <c r="D11" s="61"/>
      <c r="E11" s="61"/>
      <c r="F11" s="62"/>
      <c r="G11" s="61"/>
    </row>
    <row r="12" spans="2:7" ht="14.25" customHeight="1" thickBot="1" x14ac:dyDescent="0.25">
      <c r="B12" s="63" t="s">
        <v>0</v>
      </c>
      <c r="C12" s="153">
        <v>1766</v>
      </c>
      <c r="D12" s="153">
        <v>1147</v>
      </c>
      <c r="E12" s="153">
        <v>1062</v>
      </c>
      <c r="F12" s="153">
        <v>1062</v>
      </c>
      <c r="G12" s="153">
        <v>116</v>
      </c>
    </row>
    <row r="13" spans="2:7" ht="14.25" customHeight="1" x14ac:dyDescent="0.2">
      <c r="B13" s="1"/>
      <c r="C13" s="154"/>
      <c r="D13" s="154"/>
      <c r="E13" s="154"/>
      <c r="F13" s="154"/>
      <c r="G13" s="154"/>
    </row>
    <row r="14" spans="2:7" ht="14.25" customHeight="1" x14ac:dyDescent="0.2">
      <c r="B14" s="1" t="s">
        <v>1</v>
      </c>
      <c r="C14" s="154">
        <v>1261</v>
      </c>
      <c r="D14" s="154">
        <v>653</v>
      </c>
      <c r="E14" s="154">
        <v>803</v>
      </c>
      <c r="F14" s="154">
        <v>803</v>
      </c>
      <c r="G14" s="154">
        <v>793</v>
      </c>
    </row>
    <row r="15" spans="2:7" ht="14.25" customHeight="1" x14ac:dyDescent="0.2">
      <c r="B15" s="1" t="s">
        <v>2</v>
      </c>
      <c r="C15" s="154">
        <v>38</v>
      </c>
      <c r="D15" s="155">
        <v>-76</v>
      </c>
      <c r="E15" s="154">
        <v>26</v>
      </c>
      <c r="F15" s="154">
        <v>26</v>
      </c>
      <c r="G15" s="155">
        <v>-45</v>
      </c>
    </row>
    <row r="16" spans="2:7" ht="14.25" customHeight="1" x14ac:dyDescent="0.2">
      <c r="B16" s="1" t="s">
        <v>3</v>
      </c>
      <c r="C16" s="155">
        <v>-45</v>
      </c>
      <c r="D16" s="155">
        <v>-55</v>
      </c>
      <c r="E16" s="155">
        <v>-20</v>
      </c>
      <c r="F16" s="155">
        <v>-20</v>
      </c>
      <c r="G16" s="155">
        <v>-13</v>
      </c>
    </row>
    <row r="17" spans="2:7" ht="14.25" customHeight="1" x14ac:dyDescent="0.2">
      <c r="B17" s="1" t="s">
        <v>4</v>
      </c>
      <c r="C17" s="155">
        <v>-120</v>
      </c>
      <c r="D17" s="155">
        <v>-196</v>
      </c>
      <c r="E17" s="155">
        <v>-63</v>
      </c>
      <c r="F17" s="155">
        <v>-63</v>
      </c>
      <c r="G17" s="155">
        <v>-110</v>
      </c>
    </row>
    <row r="18" spans="2:7" ht="14.25" customHeight="1" x14ac:dyDescent="0.2">
      <c r="B18" s="1" t="s">
        <v>5</v>
      </c>
      <c r="C18" s="154">
        <v>8</v>
      </c>
      <c r="D18" s="154">
        <v>12</v>
      </c>
      <c r="E18" s="154">
        <v>17</v>
      </c>
      <c r="F18" s="154">
        <v>17</v>
      </c>
      <c r="G18" s="154">
        <v>11</v>
      </c>
    </row>
    <row r="19" spans="2:7" ht="14.25" customHeight="1" x14ac:dyDescent="0.2">
      <c r="B19" s="1" t="s">
        <v>6</v>
      </c>
      <c r="C19" s="155">
        <v>-16</v>
      </c>
      <c r="D19" s="155">
        <v>-15</v>
      </c>
      <c r="E19" s="154">
        <v>1</v>
      </c>
      <c r="F19" s="154">
        <v>1</v>
      </c>
      <c r="G19" s="155">
        <v>-25</v>
      </c>
    </row>
    <row r="20" spans="2:7" ht="14.25" customHeight="1" thickBot="1" x14ac:dyDescent="0.25">
      <c r="B20" s="1"/>
      <c r="C20" s="154"/>
      <c r="D20" s="154"/>
      <c r="E20" s="154"/>
      <c r="F20" s="154"/>
      <c r="G20" s="154"/>
    </row>
    <row r="21" spans="2:7" ht="14.25" customHeight="1" thickBot="1" x14ac:dyDescent="0.25">
      <c r="B21" s="63" t="s">
        <v>7</v>
      </c>
      <c r="C21" s="153">
        <f>+SUM(C14:C19)</f>
        <v>1126</v>
      </c>
      <c r="D21" s="153">
        <f>+SUM(D14:D19)</f>
        <v>323</v>
      </c>
      <c r="E21" s="153">
        <f>+SUM(E14:E19)</f>
        <v>764</v>
      </c>
      <c r="F21" s="153">
        <f>+SUM(F14:F19)</f>
        <v>764</v>
      </c>
      <c r="G21" s="153">
        <f>+SUM(G14:G19)</f>
        <v>611</v>
      </c>
    </row>
    <row r="22" spans="2:7" ht="14.25" customHeight="1" x14ac:dyDescent="0.2">
      <c r="B22" s="65"/>
      <c r="C22" s="154"/>
      <c r="D22" s="154"/>
      <c r="E22" s="154"/>
      <c r="F22" s="154"/>
      <c r="G22" s="154"/>
    </row>
    <row r="23" spans="2:7" ht="14.25" customHeight="1" x14ac:dyDescent="0.2">
      <c r="B23" s="1" t="s">
        <v>8</v>
      </c>
      <c r="C23" s="154">
        <v>19</v>
      </c>
      <c r="D23" s="154">
        <v>649</v>
      </c>
      <c r="E23" s="154">
        <v>208</v>
      </c>
      <c r="F23" s="154">
        <v>208</v>
      </c>
      <c r="G23" s="155">
        <v>-13</v>
      </c>
    </row>
    <row r="24" spans="2:7" ht="14.25" customHeight="1" x14ac:dyDescent="0.2">
      <c r="B24" s="1" t="s">
        <v>9</v>
      </c>
      <c r="C24" s="154">
        <v>40</v>
      </c>
      <c r="D24" s="155">
        <v>-177</v>
      </c>
      <c r="E24" s="155">
        <v>-8</v>
      </c>
      <c r="F24" s="155">
        <v>-8</v>
      </c>
      <c r="G24" s="155">
        <v>-13</v>
      </c>
    </row>
    <row r="25" spans="2:7" ht="14.25" customHeight="1" x14ac:dyDescent="0.2">
      <c r="B25" s="1" t="s">
        <v>10</v>
      </c>
      <c r="C25" s="155">
        <v>-535</v>
      </c>
      <c r="D25" s="155">
        <v>-555</v>
      </c>
      <c r="E25" s="155">
        <v>-489</v>
      </c>
      <c r="F25" s="155">
        <v>-489</v>
      </c>
      <c r="G25" s="155">
        <v>-429</v>
      </c>
    </row>
    <row r="26" spans="2:7" ht="14.25" customHeight="1" x14ac:dyDescent="0.2">
      <c r="B26" s="1" t="s">
        <v>11</v>
      </c>
      <c r="C26" s="154">
        <v>0</v>
      </c>
      <c r="D26" s="154">
        <v>0</v>
      </c>
      <c r="E26" s="154">
        <v>489</v>
      </c>
      <c r="F26" s="154">
        <v>489</v>
      </c>
      <c r="G26" s="155">
        <v>-409</v>
      </c>
    </row>
    <row r="27" spans="2:7" ht="14.25" customHeight="1" thickBot="1" x14ac:dyDescent="0.25">
      <c r="B27" s="1"/>
      <c r="C27" s="154"/>
      <c r="D27" s="154"/>
      <c r="E27" s="154"/>
      <c r="F27" s="154"/>
      <c r="G27" s="154"/>
    </row>
    <row r="28" spans="2:7" ht="14.25" customHeight="1" thickBot="1" x14ac:dyDescent="0.25">
      <c r="B28" s="63" t="s">
        <v>12</v>
      </c>
      <c r="C28" s="153">
        <f>+SUM(C21:C26)</f>
        <v>650</v>
      </c>
      <c r="D28" s="153">
        <f>+SUM(D21:D26)</f>
        <v>240</v>
      </c>
      <c r="E28" s="153">
        <f>+SUM(E21:E26)</f>
        <v>964</v>
      </c>
      <c r="F28" s="153">
        <f>+SUM(F21:F26)</f>
        <v>964</v>
      </c>
      <c r="G28" s="156">
        <f>+SUM(G21:G26)</f>
        <v>-253</v>
      </c>
    </row>
    <row r="29" spans="2:7" ht="14.25" customHeight="1" x14ac:dyDescent="0.2">
      <c r="B29" s="65"/>
      <c r="C29" s="154"/>
      <c r="D29" s="154"/>
      <c r="E29" s="154"/>
      <c r="F29" s="154"/>
      <c r="G29" s="154"/>
    </row>
    <row r="30" spans="2:7" ht="14.25" customHeight="1" x14ac:dyDescent="0.2">
      <c r="B30" s="1" t="s">
        <v>13</v>
      </c>
      <c r="C30" s="155">
        <v>-93</v>
      </c>
      <c r="D30" s="155">
        <v>-77</v>
      </c>
      <c r="E30" s="155">
        <v>-46</v>
      </c>
      <c r="F30" s="155">
        <v>-46</v>
      </c>
      <c r="G30" s="155">
        <v>-47</v>
      </c>
    </row>
    <row r="31" spans="2:7" ht="14.25" customHeight="1" x14ac:dyDescent="0.2">
      <c r="B31" s="1" t="s">
        <v>14</v>
      </c>
      <c r="C31" s="154">
        <v>62</v>
      </c>
      <c r="D31" s="155">
        <v>-78</v>
      </c>
      <c r="E31" s="154">
        <v>28</v>
      </c>
      <c r="F31" s="154">
        <v>28</v>
      </c>
      <c r="G31" s="154">
        <v>0</v>
      </c>
    </row>
    <row r="32" spans="2:7" ht="14.25" customHeight="1" thickBot="1" x14ac:dyDescent="0.25">
      <c r="B32" s="1"/>
      <c r="C32" s="154"/>
      <c r="D32" s="154"/>
      <c r="E32" s="154"/>
      <c r="F32" s="154"/>
      <c r="G32" s="154"/>
    </row>
    <row r="33" spans="1:11" ht="14.25" customHeight="1" thickBot="1" x14ac:dyDescent="0.25">
      <c r="B33" s="63" t="s">
        <v>15</v>
      </c>
      <c r="C33" s="153">
        <f>+SUM(C28:C31)</f>
        <v>619</v>
      </c>
      <c r="D33" s="153">
        <f>+SUM(D28:D31)</f>
        <v>85</v>
      </c>
      <c r="E33" s="153">
        <f>+SUM(E28:E31)</f>
        <v>946</v>
      </c>
      <c r="F33" s="153">
        <f>+SUM(F28:F31)</f>
        <v>946</v>
      </c>
      <c r="G33" s="156">
        <f>+SUM(G28:G31)</f>
        <v>-300</v>
      </c>
    </row>
    <row r="34" spans="1:11" ht="14.25" customHeight="1" thickBot="1" x14ac:dyDescent="0.25">
      <c r="B34" s="1"/>
      <c r="C34" s="154"/>
      <c r="D34" s="154"/>
      <c r="E34" s="154"/>
      <c r="F34" s="154"/>
      <c r="G34" s="154"/>
    </row>
    <row r="35" spans="1:11" ht="14.25" customHeight="1" thickBot="1" x14ac:dyDescent="0.25">
      <c r="B35" s="63" t="s">
        <v>16</v>
      </c>
      <c r="C35" s="153">
        <f>+C12-C33</f>
        <v>1147</v>
      </c>
      <c r="D35" s="153">
        <f>+D12-D33</f>
        <v>1062</v>
      </c>
      <c r="E35" s="153">
        <f>+E12-E33</f>
        <v>116</v>
      </c>
      <c r="F35" s="153">
        <f>+F12-F33</f>
        <v>116</v>
      </c>
      <c r="G35" s="153">
        <f>+G12-G33</f>
        <v>416</v>
      </c>
    </row>
    <row r="36" spans="1:11" x14ac:dyDescent="0.2">
      <c r="B36" s="2"/>
      <c r="C36" s="2"/>
      <c r="D36" s="2"/>
      <c r="E36" s="2"/>
      <c r="F36" s="2"/>
      <c r="G36" s="2"/>
    </row>
    <row r="37" spans="1:11" s="164" customFormat="1" ht="27" customHeight="1" x14ac:dyDescent="0.2">
      <c r="A37" s="13"/>
      <c r="B37" s="598" t="s">
        <v>39</v>
      </c>
      <c r="C37" s="598"/>
      <c r="D37" s="598"/>
      <c r="E37" s="598"/>
      <c r="F37" s="598"/>
      <c r="G37" s="598"/>
      <c r="H37" s="598"/>
      <c r="I37" s="598"/>
      <c r="J37" s="598"/>
      <c r="K37" s="598"/>
    </row>
    <row r="38" spans="1:11" s="164" customFormat="1" ht="36.75" customHeight="1" x14ac:dyDescent="0.2">
      <c r="A38" s="13"/>
      <c r="B38" s="598" t="s">
        <v>631</v>
      </c>
      <c r="C38" s="598"/>
      <c r="D38" s="598"/>
      <c r="E38" s="598"/>
      <c r="F38" s="598"/>
      <c r="G38" s="598"/>
      <c r="H38" s="598"/>
      <c r="I38" s="598"/>
      <c r="J38" s="598"/>
      <c r="K38" s="598"/>
    </row>
    <row r="39" spans="1:11" x14ac:dyDescent="0.2">
      <c r="B39" s="602" t="s">
        <v>630</v>
      </c>
      <c r="C39" s="602"/>
      <c r="D39" s="602"/>
      <c r="E39" s="602"/>
      <c r="F39" s="602"/>
      <c r="G39" s="602"/>
      <c r="H39" s="602"/>
      <c r="I39" s="602"/>
      <c r="J39" s="602"/>
      <c r="K39" s="602"/>
    </row>
    <row r="40" spans="1:11" x14ac:dyDescent="0.2">
      <c r="B40" s="109"/>
    </row>
  </sheetData>
  <mergeCells count="3">
    <mergeCell ref="B37:K37"/>
    <mergeCell ref="B38:K38"/>
    <mergeCell ref="B39:K39"/>
  </mergeCells>
  <pageMargins left="0.7" right="0.7" top="0.75" bottom="0.75" header="0.3" footer="0.3"/>
  <pageSetup paperSize="9" scale="4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084A0-EA20-4A4F-A286-A5D2FFA2301E}">
  <sheetPr codeName="Foglio7">
    <tabColor theme="3"/>
  </sheetPr>
  <dimension ref="A9:N108"/>
  <sheetViews>
    <sheetView showGridLines="0" topLeftCell="A52" zoomScaleNormal="100" workbookViewId="0">
      <selection activeCell="B108" sqref="B108"/>
    </sheetView>
  </sheetViews>
  <sheetFormatPr defaultColWidth="9.140625" defaultRowHeight="14.25" x14ac:dyDescent="0.2"/>
  <cols>
    <col min="1" max="1" width="5.7109375" style="13" customWidth="1"/>
    <col min="2" max="2" width="40.28515625" style="164" customWidth="1"/>
    <col min="3" max="7" width="11.85546875" style="164" customWidth="1"/>
    <col min="8" max="8" width="0.85546875" style="164" customWidth="1"/>
    <col min="9" max="13" width="9.140625" style="164"/>
    <col min="14" max="14" width="0.85546875" style="164" customWidth="1"/>
    <col min="15" max="19" width="9.140625" style="164"/>
    <col min="20" max="20" width="9.140625" style="164" customWidth="1"/>
    <col min="21" max="16384" width="9.140625" style="164"/>
  </cols>
  <sheetData>
    <row r="9" spans="2:14" ht="21" thickBot="1" x14ac:dyDescent="0.35">
      <c r="B9" s="162" t="s">
        <v>763</v>
      </c>
      <c r="C9" s="108"/>
      <c r="D9" s="87"/>
      <c r="E9" s="87"/>
      <c r="F9" s="87"/>
      <c r="G9" s="87"/>
      <c r="H9" s="14"/>
      <c r="N9" s="165"/>
    </row>
    <row r="10" spans="2:14" ht="15" thickBot="1" x14ac:dyDescent="0.25">
      <c r="B10" s="114" t="s">
        <v>740</v>
      </c>
      <c r="C10" s="163">
        <v>2015</v>
      </c>
      <c r="D10" s="163" t="s">
        <v>751</v>
      </c>
      <c r="E10" s="163">
        <v>2017</v>
      </c>
      <c r="F10" s="163" t="s">
        <v>752</v>
      </c>
      <c r="G10" s="163" t="s">
        <v>931</v>
      </c>
      <c r="H10" s="160"/>
      <c r="N10" s="167"/>
    </row>
    <row r="11" spans="2:14" ht="15" thickBot="1" x14ac:dyDescent="0.25">
      <c r="B11" s="105"/>
      <c r="C11" s="80"/>
      <c r="D11" s="80"/>
      <c r="E11" s="80"/>
      <c r="F11" s="80"/>
      <c r="G11" s="80"/>
      <c r="H11" s="165"/>
      <c r="N11" s="165"/>
    </row>
    <row r="12" spans="2:14" ht="15" thickBot="1" x14ac:dyDescent="0.25">
      <c r="B12" s="81" t="s">
        <v>40</v>
      </c>
      <c r="C12" s="120">
        <v>6529</v>
      </c>
      <c r="D12" s="120">
        <v>5682</v>
      </c>
      <c r="E12" s="120">
        <v>5127</v>
      </c>
      <c r="F12" s="120">
        <v>3970</v>
      </c>
      <c r="G12" s="120">
        <v>3768</v>
      </c>
      <c r="H12" s="165"/>
      <c r="N12" s="165"/>
    </row>
    <row r="13" spans="2:14" x14ac:dyDescent="0.2">
      <c r="B13" s="80"/>
      <c r="C13" s="146"/>
      <c r="D13" s="146"/>
      <c r="E13" s="146"/>
      <c r="F13" s="146"/>
      <c r="G13" s="146"/>
      <c r="H13" s="165"/>
      <c r="N13" s="165"/>
    </row>
    <row r="14" spans="2:14" x14ac:dyDescent="0.2">
      <c r="B14" s="80" t="s">
        <v>102</v>
      </c>
      <c r="C14" s="181"/>
      <c r="D14" s="181"/>
      <c r="E14" s="181"/>
      <c r="F14" s="150">
        <v>-3068</v>
      </c>
      <c r="G14" s="150">
        <v>-2863</v>
      </c>
      <c r="H14" s="165"/>
      <c r="N14" s="165"/>
    </row>
    <row r="15" spans="2:14" x14ac:dyDescent="0.2">
      <c r="B15" s="80" t="s">
        <v>103</v>
      </c>
      <c r="C15" s="181"/>
      <c r="D15" s="181"/>
      <c r="E15" s="181"/>
      <c r="F15" s="150">
        <v>-353</v>
      </c>
      <c r="G15" s="150">
        <v>-400</v>
      </c>
      <c r="H15" s="165"/>
      <c r="N15" s="165"/>
    </row>
    <row r="16" spans="2:14" x14ac:dyDescent="0.2">
      <c r="B16" s="80" t="s">
        <v>104</v>
      </c>
      <c r="C16" s="181"/>
      <c r="D16" s="181"/>
      <c r="E16" s="181"/>
      <c r="F16" s="150">
        <v>-172</v>
      </c>
      <c r="G16" s="150">
        <v>-186</v>
      </c>
      <c r="H16" s="165"/>
      <c r="N16" s="165"/>
    </row>
    <row r="17" spans="2:14" x14ac:dyDescent="0.2">
      <c r="B17" s="80" t="s">
        <v>105</v>
      </c>
      <c r="C17" s="181"/>
      <c r="D17" s="181"/>
      <c r="E17" s="181"/>
      <c r="F17" s="150">
        <v>-88</v>
      </c>
      <c r="G17" s="146">
        <v>9</v>
      </c>
      <c r="H17" s="165"/>
      <c r="N17" s="165"/>
    </row>
    <row r="18" spans="2:14" ht="15" thickBot="1" x14ac:dyDescent="0.25">
      <c r="B18" s="80"/>
      <c r="C18" s="146"/>
      <c r="D18" s="146"/>
      <c r="E18" s="146"/>
      <c r="F18" s="146"/>
      <c r="G18" s="146"/>
      <c r="H18" s="165"/>
      <c r="N18" s="165"/>
    </row>
    <row r="19" spans="2:14" x14ac:dyDescent="0.2">
      <c r="B19" s="168" t="s">
        <v>882</v>
      </c>
      <c r="C19" s="177">
        <v>276</v>
      </c>
      <c r="D19" s="177">
        <v>242</v>
      </c>
      <c r="E19" s="177">
        <v>265</v>
      </c>
      <c r="F19" s="177">
        <v>265</v>
      </c>
      <c r="G19" s="177">
        <v>328</v>
      </c>
      <c r="H19" s="165"/>
      <c r="N19" s="165"/>
    </row>
    <row r="20" spans="2:14" ht="15" thickBot="1" x14ac:dyDescent="0.25">
      <c r="B20" s="169" t="s">
        <v>41</v>
      </c>
      <c r="C20" s="178">
        <v>360</v>
      </c>
      <c r="D20" s="178">
        <v>386</v>
      </c>
      <c r="E20" s="178">
        <v>289</v>
      </c>
      <c r="F20" s="178">
        <f>SUM(F12:F17)</f>
        <v>289</v>
      </c>
      <c r="G20" s="178">
        <f>SUM(G12:G17)</f>
        <v>328</v>
      </c>
      <c r="H20" s="165"/>
      <c r="N20" s="165"/>
    </row>
    <row r="21" spans="2:14" x14ac:dyDescent="0.2">
      <c r="B21" s="80"/>
      <c r="C21" s="146"/>
      <c r="D21" s="146"/>
      <c r="E21" s="146"/>
      <c r="F21" s="146"/>
      <c r="G21" s="146"/>
      <c r="H21" s="165"/>
      <c r="N21" s="165"/>
    </row>
    <row r="22" spans="2:14" x14ac:dyDescent="0.2">
      <c r="B22" s="80" t="s">
        <v>27</v>
      </c>
      <c r="C22" s="150">
        <v>-16</v>
      </c>
      <c r="D22" s="146">
        <v>11</v>
      </c>
      <c r="E22" s="146">
        <v>4</v>
      </c>
      <c r="F22" s="146">
        <v>4</v>
      </c>
      <c r="G22" s="146">
        <v>1</v>
      </c>
      <c r="H22" s="165"/>
      <c r="N22" s="165"/>
    </row>
    <row r="23" spans="2:14" x14ac:dyDescent="0.2">
      <c r="B23" s="80" t="s">
        <v>42</v>
      </c>
      <c r="C23" s="150">
        <v>-252</v>
      </c>
      <c r="D23" s="150">
        <v>-211</v>
      </c>
      <c r="E23" s="150">
        <v>-226</v>
      </c>
      <c r="F23" s="150">
        <v>-226</v>
      </c>
      <c r="G23" s="150">
        <v>-232</v>
      </c>
      <c r="H23" s="165"/>
      <c r="N23" s="165"/>
    </row>
    <row r="24" spans="2:14" x14ac:dyDescent="0.2">
      <c r="B24" s="166" t="s">
        <v>761</v>
      </c>
      <c r="C24" s="181"/>
      <c r="D24" s="181"/>
      <c r="E24" s="181"/>
      <c r="F24" s="150">
        <v>-218</v>
      </c>
      <c r="G24" s="150">
        <v>-217</v>
      </c>
      <c r="H24" s="165"/>
      <c r="N24" s="165"/>
    </row>
    <row r="25" spans="2:14" x14ac:dyDescent="0.2">
      <c r="B25" s="166" t="s">
        <v>762</v>
      </c>
      <c r="C25" s="181"/>
      <c r="D25" s="181"/>
      <c r="E25" s="181"/>
      <c r="F25" s="150">
        <v>-8</v>
      </c>
      <c r="G25" s="150">
        <v>-15</v>
      </c>
      <c r="H25" s="165"/>
      <c r="N25" s="165"/>
    </row>
    <row r="26" spans="2:14" x14ac:dyDescent="0.2">
      <c r="B26" s="80" t="s">
        <v>847</v>
      </c>
      <c r="C26" s="150">
        <v>-1069</v>
      </c>
      <c r="D26" s="150">
        <v>-2</v>
      </c>
      <c r="E26" s="150">
        <v>-49</v>
      </c>
      <c r="F26" s="150">
        <v>-49</v>
      </c>
      <c r="G26" s="150">
        <v>-1</v>
      </c>
      <c r="H26" s="165"/>
      <c r="N26" s="165"/>
    </row>
    <row r="27" spans="2:14" x14ac:dyDescent="0.2">
      <c r="B27" s="80" t="s">
        <v>43</v>
      </c>
      <c r="C27" s="146">
        <v>0</v>
      </c>
      <c r="D27" s="146">
        <v>0</v>
      </c>
      <c r="E27" s="146">
        <v>15</v>
      </c>
      <c r="F27" s="146">
        <v>15</v>
      </c>
      <c r="G27" s="146">
        <v>0</v>
      </c>
      <c r="H27" s="165"/>
      <c r="N27" s="165"/>
    </row>
    <row r="28" spans="2:14" ht="15" thickBot="1" x14ac:dyDescent="0.25">
      <c r="B28" s="80"/>
      <c r="C28" s="146"/>
      <c r="D28" s="146"/>
      <c r="E28" s="146"/>
      <c r="F28" s="146"/>
      <c r="G28" s="146"/>
      <c r="H28" s="165"/>
      <c r="N28" s="165"/>
    </row>
    <row r="29" spans="2:14" ht="15" thickBot="1" x14ac:dyDescent="0.25">
      <c r="B29" s="81" t="s">
        <v>44</v>
      </c>
      <c r="C29" s="152">
        <f>SUM(C20:C23,C26:C27)</f>
        <v>-977</v>
      </c>
      <c r="D29" s="120">
        <f>SUM(D20:D23,D26:D27)</f>
        <v>184</v>
      </c>
      <c r="E29" s="120">
        <f>SUM(E20:E23,E26:E27)</f>
        <v>33</v>
      </c>
      <c r="F29" s="120">
        <f>SUM(F20:F23,F26:F27)</f>
        <v>33</v>
      </c>
      <c r="G29" s="120">
        <f>SUM(G20:G23,G26:G27)</f>
        <v>96</v>
      </c>
      <c r="H29" s="165"/>
      <c r="N29" s="165"/>
    </row>
    <row r="30" spans="2:14" ht="15" thickBot="1" x14ac:dyDescent="0.25">
      <c r="B30" s="80"/>
      <c r="C30" s="146"/>
      <c r="D30" s="146"/>
      <c r="E30" s="146"/>
      <c r="F30" s="146"/>
      <c r="G30" s="146"/>
      <c r="H30" s="165"/>
      <c r="N30" s="165"/>
    </row>
    <row r="31" spans="2:14" x14ac:dyDescent="0.2">
      <c r="B31" s="168" t="s">
        <v>45</v>
      </c>
      <c r="C31" s="177">
        <v>5672</v>
      </c>
      <c r="D31" s="177">
        <v>6243</v>
      </c>
      <c r="E31" s="177">
        <v>5224</v>
      </c>
      <c r="F31" s="177">
        <v>5224</v>
      </c>
      <c r="G31" s="177">
        <v>5274</v>
      </c>
      <c r="H31" s="165"/>
      <c r="N31" s="165"/>
    </row>
    <row r="32" spans="2:14" x14ac:dyDescent="0.2">
      <c r="B32" s="84" t="s">
        <v>627</v>
      </c>
      <c r="C32" s="121">
        <v>1593</v>
      </c>
      <c r="D32" s="121">
        <v>1851</v>
      </c>
      <c r="E32" s="121">
        <v>1448</v>
      </c>
      <c r="F32" s="121">
        <v>1448</v>
      </c>
      <c r="G32" s="121">
        <v>1612</v>
      </c>
      <c r="H32" s="165"/>
      <c r="N32" s="165"/>
    </row>
    <row r="33" spans="2:14" x14ac:dyDescent="0.2">
      <c r="B33" s="84" t="s">
        <v>106</v>
      </c>
      <c r="C33" s="184"/>
      <c r="D33" s="184"/>
      <c r="E33" s="184"/>
      <c r="F33" s="121">
        <v>3857</v>
      </c>
      <c r="G33" s="121">
        <v>3900</v>
      </c>
      <c r="H33" s="165"/>
      <c r="N33" s="165"/>
    </row>
    <row r="34" spans="2:14" ht="15" thickBot="1" x14ac:dyDescent="0.25">
      <c r="B34" s="169" t="s">
        <v>935</v>
      </c>
      <c r="C34" s="178">
        <v>43</v>
      </c>
      <c r="D34" s="178">
        <v>107</v>
      </c>
      <c r="E34" s="178">
        <v>140</v>
      </c>
      <c r="F34" s="178">
        <v>140</v>
      </c>
      <c r="G34" s="178">
        <v>239</v>
      </c>
      <c r="H34" s="165"/>
      <c r="N34" s="165"/>
    </row>
    <row r="35" spans="2:14" ht="15" thickBot="1" x14ac:dyDescent="0.25">
      <c r="B35" s="80"/>
      <c r="C35" s="146"/>
      <c r="D35" s="146"/>
      <c r="E35" s="146"/>
      <c r="F35" s="146"/>
      <c r="G35" s="146"/>
      <c r="H35" s="165"/>
      <c r="N35" s="165"/>
    </row>
    <row r="36" spans="2:14" ht="15" thickBot="1" x14ac:dyDescent="0.25">
      <c r="B36" s="81" t="s">
        <v>46</v>
      </c>
      <c r="C36" s="120">
        <v>1030</v>
      </c>
      <c r="D36" s="120">
        <v>2949</v>
      </c>
      <c r="E36" s="120">
        <v>3156</v>
      </c>
      <c r="F36" s="120">
        <v>3156</v>
      </c>
      <c r="G36" s="120">
        <v>3303</v>
      </c>
      <c r="H36" s="165"/>
      <c r="N36" s="165"/>
    </row>
    <row r="37" spans="2:14" x14ac:dyDescent="0.2">
      <c r="B37" s="105"/>
      <c r="C37" s="80"/>
      <c r="D37" s="80"/>
      <c r="E37" s="80"/>
      <c r="F37" s="80"/>
      <c r="G37" s="80"/>
    </row>
    <row r="38" spans="2:14" x14ac:dyDescent="0.2">
      <c r="B38" s="105"/>
      <c r="C38" s="80"/>
      <c r="D38" s="80"/>
      <c r="E38" s="80"/>
      <c r="F38" s="80"/>
      <c r="G38" s="80"/>
    </row>
    <row r="39" spans="2:14" ht="21" thickBot="1" x14ac:dyDescent="0.35">
      <c r="B39" s="162" t="s">
        <v>764</v>
      </c>
      <c r="C39" s="108"/>
      <c r="D39" s="87"/>
      <c r="E39" s="87"/>
      <c r="F39" s="87"/>
      <c r="G39" s="87"/>
      <c r="H39" s="165"/>
      <c r="N39" s="165"/>
    </row>
    <row r="40" spans="2:14" ht="15" thickBot="1" x14ac:dyDescent="0.25">
      <c r="B40" s="114" t="s">
        <v>740</v>
      </c>
      <c r="C40" s="163">
        <v>2015</v>
      </c>
      <c r="D40" s="163" t="s">
        <v>751</v>
      </c>
      <c r="E40" s="163">
        <v>2017</v>
      </c>
      <c r="F40" s="163" t="s">
        <v>752</v>
      </c>
      <c r="G40" s="163" t="s">
        <v>931</v>
      </c>
      <c r="H40" s="165"/>
      <c r="N40" s="165"/>
    </row>
    <row r="41" spans="2:14" ht="15" thickBot="1" x14ac:dyDescent="0.25">
      <c r="B41" s="105"/>
      <c r="C41" s="80"/>
      <c r="D41" s="80"/>
      <c r="E41" s="80"/>
      <c r="F41" s="80"/>
      <c r="G41" s="80"/>
      <c r="H41" s="167"/>
      <c r="N41" s="167"/>
    </row>
    <row r="42" spans="2:14" ht="15" thickBot="1" x14ac:dyDescent="0.25">
      <c r="B42" s="81" t="s">
        <v>40</v>
      </c>
      <c r="C42" s="120">
        <v>5512</v>
      </c>
      <c r="D42" s="120">
        <v>6031</v>
      </c>
      <c r="E42" s="120">
        <v>5592</v>
      </c>
      <c r="F42" s="120">
        <v>5592</v>
      </c>
      <c r="G42" s="120">
        <v>6098</v>
      </c>
      <c r="H42" s="165"/>
      <c r="N42" s="165"/>
    </row>
    <row r="43" spans="2:14" x14ac:dyDescent="0.2">
      <c r="B43" s="80"/>
      <c r="C43" s="146"/>
      <c r="D43" s="146"/>
      <c r="E43" s="146"/>
      <c r="F43" s="146"/>
      <c r="G43" s="146"/>
      <c r="H43" s="165"/>
      <c r="N43" s="165"/>
    </row>
    <row r="44" spans="2:14" x14ac:dyDescent="0.2">
      <c r="B44" s="80" t="s">
        <v>102</v>
      </c>
      <c r="C44" s="181"/>
      <c r="D44" s="181"/>
      <c r="E44" s="181"/>
      <c r="F44" s="150">
        <v>-4741</v>
      </c>
      <c r="G44" s="150">
        <v>-5273</v>
      </c>
      <c r="H44" s="165"/>
      <c r="N44" s="165"/>
    </row>
    <row r="45" spans="2:14" x14ac:dyDescent="0.2">
      <c r="B45" s="80" t="s">
        <v>103</v>
      </c>
      <c r="C45" s="181"/>
      <c r="D45" s="181"/>
      <c r="E45" s="181"/>
      <c r="F45" s="150">
        <v>-181</v>
      </c>
      <c r="G45" s="150">
        <v>-200</v>
      </c>
      <c r="H45" s="165"/>
      <c r="N45" s="165"/>
    </row>
    <row r="46" spans="2:14" x14ac:dyDescent="0.2">
      <c r="B46" s="80" t="s">
        <v>104</v>
      </c>
      <c r="C46" s="181"/>
      <c r="D46" s="181"/>
      <c r="E46" s="181"/>
      <c r="F46" s="150">
        <v>-76</v>
      </c>
      <c r="G46" s="150">
        <v>-88</v>
      </c>
      <c r="H46" s="165"/>
      <c r="N46" s="165"/>
    </row>
    <row r="47" spans="2:14" x14ac:dyDescent="0.2">
      <c r="B47" s="80" t="s">
        <v>105</v>
      </c>
      <c r="C47" s="181"/>
      <c r="D47" s="181"/>
      <c r="E47" s="181"/>
      <c r="F47" s="146">
        <v>19</v>
      </c>
      <c r="G47" s="146">
        <v>33</v>
      </c>
      <c r="H47" s="165"/>
      <c r="N47" s="165"/>
    </row>
    <row r="48" spans="2:14" ht="15" thickBot="1" x14ac:dyDescent="0.25">
      <c r="B48" s="80"/>
      <c r="C48" s="146"/>
      <c r="D48" s="146"/>
      <c r="E48" s="146"/>
      <c r="F48" s="146"/>
      <c r="G48" s="146"/>
      <c r="H48" s="165"/>
      <c r="N48" s="165"/>
    </row>
    <row r="49" spans="2:14" ht="15" thickBot="1" x14ac:dyDescent="0.25">
      <c r="B49" s="81" t="s">
        <v>882</v>
      </c>
      <c r="C49" s="120">
        <v>1079</v>
      </c>
      <c r="D49" s="120">
        <v>505</v>
      </c>
      <c r="E49" s="120">
        <v>637</v>
      </c>
      <c r="F49" s="120">
        <v>637</v>
      </c>
      <c r="G49" s="120">
        <v>570</v>
      </c>
      <c r="H49" s="165"/>
      <c r="N49" s="165"/>
    </row>
    <row r="50" spans="2:14" x14ac:dyDescent="0.2">
      <c r="B50" s="166" t="s">
        <v>47</v>
      </c>
      <c r="C50" s="146"/>
      <c r="D50" s="146"/>
      <c r="E50" s="146"/>
      <c r="F50" s="146"/>
      <c r="G50" s="146"/>
      <c r="H50" s="165"/>
      <c r="N50" s="165"/>
    </row>
    <row r="51" spans="2:14" x14ac:dyDescent="0.2">
      <c r="B51" s="166" t="s">
        <v>48</v>
      </c>
      <c r="C51" s="146">
        <v>243</v>
      </c>
      <c r="D51" s="146">
        <v>182</v>
      </c>
      <c r="E51" s="146">
        <v>263</v>
      </c>
      <c r="F51" s="146">
        <v>263</v>
      </c>
      <c r="G51" s="146">
        <v>367</v>
      </c>
      <c r="H51" s="165"/>
      <c r="N51" s="165"/>
    </row>
    <row r="52" spans="2:14" ht="15" thickBot="1" x14ac:dyDescent="0.25">
      <c r="B52" s="166" t="s">
        <v>49</v>
      </c>
      <c r="C52" s="146">
        <v>836</v>
      </c>
      <c r="D52" s="146">
        <v>323</v>
      </c>
      <c r="E52" s="146">
        <v>374</v>
      </c>
      <c r="F52" s="146">
        <v>374</v>
      </c>
      <c r="G52" s="146">
        <v>203</v>
      </c>
      <c r="H52" s="165"/>
      <c r="N52" s="165"/>
    </row>
    <row r="53" spans="2:14" ht="15" thickBot="1" x14ac:dyDescent="0.25">
      <c r="B53" s="81" t="s">
        <v>41</v>
      </c>
      <c r="C53" s="120">
        <v>995</v>
      </c>
      <c r="D53" s="120">
        <v>361</v>
      </c>
      <c r="E53" s="120">
        <v>613</v>
      </c>
      <c r="F53" s="120">
        <f>SUM(F42:F47)</f>
        <v>613</v>
      </c>
      <c r="G53" s="120">
        <f>SUM(G42:G47)</f>
        <v>570</v>
      </c>
      <c r="H53" s="165"/>
      <c r="N53" s="165"/>
    </row>
    <row r="54" spans="2:14" x14ac:dyDescent="0.2">
      <c r="B54" s="80"/>
      <c r="C54" s="146"/>
      <c r="D54" s="146"/>
      <c r="E54" s="146"/>
      <c r="F54" s="146"/>
      <c r="G54" s="146"/>
      <c r="H54" s="165"/>
      <c r="N54" s="165"/>
    </row>
    <row r="55" spans="2:14" x14ac:dyDescent="0.2">
      <c r="B55" s="80" t="s">
        <v>27</v>
      </c>
      <c r="C55" s="150">
        <v>177</v>
      </c>
      <c r="D55" s="150">
        <v>-177</v>
      </c>
      <c r="E55" s="150">
        <v>-225</v>
      </c>
      <c r="F55" s="150">
        <v>-225</v>
      </c>
      <c r="G55" s="150">
        <v>-5</v>
      </c>
      <c r="H55" s="165"/>
      <c r="N55" s="165"/>
    </row>
    <row r="56" spans="2:14" x14ac:dyDescent="0.2">
      <c r="B56" s="80" t="s">
        <v>42</v>
      </c>
      <c r="C56" s="150">
        <v>-401</v>
      </c>
      <c r="D56" s="150">
        <v>-259</v>
      </c>
      <c r="E56" s="150">
        <v>-252</v>
      </c>
      <c r="F56" s="150">
        <v>-252</v>
      </c>
      <c r="G56" s="150">
        <v>-227</v>
      </c>
      <c r="H56" s="165"/>
      <c r="N56" s="165"/>
    </row>
    <row r="57" spans="2:14" x14ac:dyDescent="0.2">
      <c r="B57" s="166" t="s">
        <v>761</v>
      </c>
      <c r="C57" s="181"/>
      <c r="D57" s="181"/>
      <c r="E57" s="181"/>
      <c r="F57" s="150">
        <v>-116</v>
      </c>
      <c r="G57" s="150">
        <v>-128</v>
      </c>
      <c r="H57" s="165"/>
      <c r="N57" s="165"/>
    </row>
    <row r="58" spans="2:14" x14ac:dyDescent="0.2">
      <c r="B58" s="166" t="s">
        <v>762</v>
      </c>
      <c r="C58" s="181"/>
      <c r="D58" s="181"/>
      <c r="E58" s="181"/>
      <c r="F58" s="150">
        <v>-136</v>
      </c>
      <c r="G58" s="150">
        <v>-99</v>
      </c>
      <c r="H58" s="165"/>
      <c r="N58" s="165"/>
    </row>
    <row r="59" spans="2:14" x14ac:dyDescent="0.2">
      <c r="B59" s="80" t="s">
        <v>847</v>
      </c>
      <c r="C59" s="150">
        <v>-465</v>
      </c>
      <c r="D59" s="150">
        <v>-254</v>
      </c>
      <c r="E59" s="150">
        <v>-120</v>
      </c>
      <c r="F59" s="150">
        <v>-120</v>
      </c>
      <c r="G59" s="150">
        <v>-99</v>
      </c>
      <c r="H59" s="165"/>
      <c r="N59" s="165"/>
    </row>
    <row r="60" spans="2:14" x14ac:dyDescent="0.2">
      <c r="B60" s="80" t="s">
        <v>43</v>
      </c>
      <c r="C60" s="146">
        <v>0</v>
      </c>
      <c r="D60" s="146">
        <v>0</v>
      </c>
      <c r="E60" s="146">
        <v>0</v>
      </c>
      <c r="F60" s="146">
        <v>0</v>
      </c>
      <c r="G60" s="146">
        <v>0</v>
      </c>
      <c r="H60" s="165">
        <v>0</v>
      </c>
      <c r="N60" s="165"/>
    </row>
    <row r="61" spans="2:14" ht="15" thickBot="1" x14ac:dyDescent="0.25">
      <c r="B61" s="80"/>
      <c r="C61" s="80"/>
      <c r="D61" s="80"/>
      <c r="E61" s="80"/>
      <c r="F61" s="80"/>
      <c r="G61" s="80"/>
      <c r="H61" s="165"/>
      <c r="N61" s="165"/>
    </row>
    <row r="62" spans="2:14" ht="15" thickBot="1" x14ac:dyDescent="0.25">
      <c r="B62" s="81" t="s">
        <v>44</v>
      </c>
      <c r="C62" s="120">
        <v>306</v>
      </c>
      <c r="D62" s="152">
        <v>-329</v>
      </c>
      <c r="E62" s="120">
        <v>16</v>
      </c>
      <c r="F62" s="120">
        <f>SUM(F53:F56,F59:F60)</f>
        <v>16</v>
      </c>
      <c r="G62" s="120">
        <f>SUM(G53:G56,G59:G60)</f>
        <v>239</v>
      </c>
      <c r="H62" s="120">
        <f>SUM(H53:H56,H59:H60)</f>
        <v>0</v>
      </c>
      <c r="N62" s="165"/>
    </row>
    <row r="63" spans="2:14" ht="15" thickBot="1" x14ac:dyDescent="0.25">
      <c r="B63" s="80"/>
      <c r="C63" s="146"/>
      <c r="D63" s="146"/>
      <c r="E63" s="146"/>
      <c r="F63" s="146"/>
      <c r="G63" s="146"/>
      <c r="H63" s="165"/>
      <c r="N63" s="165"/>
    </row>
    <row r="64" spans="2:14" x14ac:dyDescent="0.2">
      <c r="B64" s="168" t="s">
        <v>45</v>
      </c>
      <c r="C64" s="177">
        <v>6861</v>
      </c>
      <c r="D64" s="177">
        <v>5242</v>
      </c>
      <c r="E64" s="177">
        <v>4630</v>
      </c>
      <c r="F64" s="177">
        <v>4630</v>
      </c>
      <c r="G64" s="177">
        <v>5131</v>
      </c>
      <c r="H64" s="165"/>
      <c r="N64" s="165"/>
    </row>
    <row r="65" spans="2:14" x14ac:dyDescent="0.2">
      <c r="B65" s="84" t="s">
        <v>627</v>
      </c>
      <c r="C65" s="121">
        <v>5056</v>
      </c>
      <c r="D65" s="121">
        <v>3879</v>
      </c>
      <c r="E65" s="121">
        <v>3723</v>
      </c>
      <c r="F65" s="121">
        <v>3723</v>
      </c>
      <c r="G65" s="121">
        <v>3111</v>
      </c>
      <c r="H65" s="165"/>
      <c r="N65" s="165"/>
    </row>
    <row r="66" spans="2:14" x14ac:dyDescent="0.2">
      <c r="B66" s="84" t="s">
        <v>106</v>
      </c>
      <c r="C66" s="184"/>
      <c r="D66" s="184"/>
      <c r="E66" s="184"/>
      <c r="F66" s="121">
        <v>2349</v>
      </c>
      <c r="G66" s="121">
        <v>2482</v>
      </c>
      <c r="H66" s="165"/>
      <c r="N66" s="165"/>
    </row>
    <row r="67" spans="2:14" ht="15" thickBot="1" x14ac:dyDescent="0.25">
      <c r="B67" s="169" t="s">
        <v>935</v>
      </c>
      <c r="C67" s="121">
        <v>479</v>
      </c>
      <c r="D67" s="121">
        <v>292</v>
      </c>
      <c r="E67" s="121">
        <v>310</v>
      </c>
      <c r="F67" s="121">
        <v>310</v>
      </c>
      <c r="G67" s="121">
        <v>201</v>
      </c>
      <c r="H67" s="165"/>
      <c r="N67" s="165"/>
    </row>
    <row r="68" spans="2:14" ht="15" thickBot="1" x14ac:dyDescent="0.25">
      <c r="B68" s="176" t="s">
        <v>767</v>
      </c>
      <c r="C68" s="174">
        <v>139</v>
      </c>
      <c r="D68" s="174">
        <v>68</v>
      </c>
      <c r="E68" s="174">
        <v>80</v>
      </c>
      <c r="F68" s="174">
        <v>80</v>
      </c>
      <c r="G68" s="174">
        <v>29</v>
      </c>
      <c r="H68" s="165"/>
      <c r="N68" s="165"/>
    </row>
    <row r="69" spans="2:14" ht="15" thickBot="1" x14ac:dyDescent="0.25">
      <c r="B69" s="80"/>
      <c r="C69" s="146"/>
      <c r="D69" s="146"/>
      <c r="E69" s="146"/>
      <c r="F69" s="146"/>
      <c r="G69" s="146"/>
      <c r="H69" s="165"/>
      <c r="N69" s="165"/>
    </row>
    <row r="70" spans="2:14" ht="15" thickBot="1" x14ac:dyDescent="0.25">
      <c r="B70" s="81" t="s">
        <v>46</v>
      </c>
      <c r="C70" s="120">
        <v>1414</v>
      </c>
      <c r="D70" s="120">
        <v>1379</v>
      </c>
      <c r="E70" s="120">
        <v>1359</v>
      </c>
      <c r="F70" s="120">
        <v>1359</v>
      </c>
      <c r="G70" s="120">
        <v>1437</v>
      </c>
      <c r="H70" s="165"/>
      <c r="N70" s="165"/>
    </row>
    <row r="71" spans="2:14" x14ac:dyDescent="0.2">
      <c r="B71" s="80"/>
      <c r="C71" s="80"/>
      <c r="D71" s="80"/>
      <c r="E71" s="80"/>
      <c r="F71" s="80"/>
      <c r="G71" s="80"/>
      <c r="H71" s="165"/>
      <c r="N71" s="165"/>
    </row>
    <row r="72" spans="2:14" x14ac:dyDescent="0.2">
      <c r="B72" s="80"/>
      <c r="C72" s="80"/>
      <c r="D72" s="80"/>
      <c r="E72" s="80"/>
      <c r="F72" s="80"/>
      <c r="G72" s="80"/>
      <c r="H72" s="165"/>
      <c r="N72" s="165"/>
    </row>
    <row r="73" spans="2:14" ht="21" thickBot="1" x14ac:dyDescent="0.35">
      <c r="B73" s="162" t="s">
        <v>765</v>
      </c>
      <c r="C73" s="108"/>
      <c r="D73" s="87"/>
      <c r="E73" s="87"/>
      <c r="F73" s="87"/>
      <c r="G73" s="87"/>
      <c r="H73" s="167"/>
      <c r="N73" s="167"/>
    </row>
    <row r="74" spans="2:14" ht="15" thickBot="1" x14ac:dyDescent="0.25">
      <c r="B74" s="114" t="s">
        <v>740</v>
      </c>
      <c r="C74" s="163">
        <v>2015</v>
      </c>
      <c r="D74" s="163" t="s">
        <v>751</v>
      </c>
      <c r="E74" s="163">
        <v>2017</v>
      </c>
      <c r="F74" s="163" t="s">
        <v>752</v>
      </c>
      <c r="G74" s="163" t="s">
        <v>931</v>
      </c>
      <c r="H74" s="165"/>
      <c r="N74" s="165"/>
    </row>
    <row r="75" spans="2:14" ht="15" thickBot="1" x14ac:dyDescent="0.25">
      <c r="B75" s="80"/>
      <c r="C75" s="80"/>
      <c r="D75" s="80"/>
      <c r="E75" s="80"/>
      <c r="F75" s="80"/>
      <c r="G75" s="80"/>
      <c r="H75" s="165"/>
      <c r="N75" s="165"/>
    </row>
    <row r="76" spans="2:14" ht="15" thickBot="1" x14ac:dyDescent="0.25">
      <c r="B76" s="81" t="s">
        <v>1021</v>
      </c>
      <c r="C76" s="120">
        <f>49-777</f>
        <v>-728</v>
      </c>
      <c r="D76" s="120">
        <f>51-730</f>
        <v>-679</v>
      </c>
      <c r="E76" s="120">
        <f>54-833</f>
        <v>-779</v>
      </c>
      <c r="F76" s="120">
        <f>54-833</f>
        <v>-779</v>
      </c>
      <c r="G76" s="120">
        <f>69-776</f>
        <v>-707</v>
      </c>
      <c r="H76" s="165"/>
      <c r="N76" s="165"/>
    </row>
    <row r="77" spans="2:14" ht="15" thickBot="1" x14ac:dyDescent="0.25">
      <c r="B77" s="80"/>
      <c r="C77" s="146"/>
      <c r="D77" s="146"/>
      <c r="E77" s="146"/>
      <c r="F77" s="146"/>
      <c r="G77" s="146"/>
      <c r="H77" s="165"/>
      <c r="N77" s="165"/>
    </row>
    <row r="78" spans="2:14" x14ac:dyDescent="0.2">
      <c r="B78" s="144" t="s">
        <v>102</v>
      </c>
      <c r="C78" s="182"/>
      <c r="D78" s="182"/>
      <c r="E78" s="182"/>
      <c r="F78" s="148">
        <v>0</v>
      </c>
      <c r="G78" s="151">
        <v>-7</v>
      </c>
      <c r="H78" s="165"/>
      <c r="N78" s="165"/>
    </row>
    <row r="79" spans="2:14" x14ac:dyDescent="0.2">
      <c r="B79" s="80" t="s">
        <v>103</v>
      </c>
      <c r="C79" s="181"/>
      <c r="D79" s="181"/>
      <c r="E79" s="181"/>
      <c r="F79" s="150">
        <v>-93</v>
      </c>
      <c r="G79" s="150">
        <v>-109</v>
      </c>
      <c r="H79" s="165"/>
      <c r="N79" s="165"/>
    </row>
    <row r="80" spans="2:14" x14ac:dyDescent="0.2">
      <c r="B80" s="80" t="s">
        <v>104</v>
      </c>
      <c r="C80" s="181"/>
      <c r="D80" s="181"/>
      <c r="E80" s="181"/>
      <c r="F80" s="150">
        <v>-63</v>
      </c>
      <c r="G80" s="150">
        <v>-63</v>
      </c>
      <c r="H80" s="165"/>
      <c r="N80" s="165"/>
    </row>
    <row r="81" spans="2:14" ht="15" thickBot="1" x14ac:dyDescent="0.25">
      <c r="B81" s="170" t="s">
        <v>105</v>
      </c>
      <c r="C81" s="183"/>
      <c r="D81" s="183"/>
      <c r="E81" s="183"/>
      <c r="F81" s="174">
        <v>3</v>
      </c>
      <c r="G81" s="174">
        <v>5</v>
      </c>
      <c r="H81" s="165"/>
      <c r="N81" s="165"/>
    </row>
    <row r="82" spans="2:14" ht="15" thickBot="1" x14ac:dyDescent="0.25">
      <c r="B82" s="80"/>
      <c r="C82" s="146"/>
      <c r="D82" s="146"/>
      <c r="E82" s="146"/>
      <c r="F82" s="146"/>
      <c r="G82" s="146"/>
      <c r="H82" s="165"/>
      <c r="N82" s="165"/>
    </row>
    <row r="83" spans="2:14" x14ac:dyDescent="0.2">
      <c r="B83" s="168" t="s">
        <v>882</v>
      </c>
      <c r="C83" s="185">
        <v>-94</v>
      </c>
      <c r="D83" s="185">
        <v>-94</v>
      </c>
      <c r="E83" s="185">
        <v>-99</v>
      </c>
      <c r="F83" s="185">
        <v>-99</v>
      </c>
      <c r="G83" s="185">
        <v>-105</v>
      </c>
      <c r="H83" s="165"/>
      <c r="N83" s="165"/>
    </row>
    <row r="84" spans="2:14" ht="15" thickBot="1" x14ac:dyDescent="0.25">
      <c r="B84" s="169" t="s">
        <v>41</v>
      </c>
      <c r="C84" s="186">
        <v>-94</v>
      </c>
      <c r="D84" s="186">
        <v>-94</v>
      </c>
      <c r="E84" s="186">
        <v>-99</v>
      </c>
      <c r="F84" s="186">
        <v>-99</v>
      </c>
      <c r="G84" s="186">
        <v>-105</v>
      </c>
      <c r="H84" s="165"/>
      <c r="N84" s="165"/>
    </row>
    <row r="85" spans="2:14" x14ac:dyDescent="0.2">
      <c r="B85" s="80"/>
      <c r="C85" s="146"/>
      <c r="D85" s="146"/>
      <c r="E85" s="146"/>
      <c r="F85" s="146"/>
      <c r="G85" s="146"/>
      <c r="H85" s="165"/>
      <c r="N85" s="165"/>
    </row>
    <row r="86" spans="2:14" x14ac:dyDescent="0.2">
      <c r="B86" s="80" t="s">
        <v>42</v>
      </c>
      <c r="C86" s="150">
        <v>-7</v>
      </c>
      <c r="D86" s="150">
        <v>-8</v>
      </c>
      <c r="E86" s="150">
        <v>-8</v>
      </c>
      <c r="F86" s="150">
        <v>-8</v>
      </c>
      <c r="G86" s="150">
        <v>-5</v>
      </c>
      <c r="H86" s="165"/>
      <c r="N86" s="165"/>
    </row>
    <row r="87" spans="2:14" x14ac:dyDescent="0.2">
      <c r="B87" s="166" t="s">
        <v>761</v>
      </c>
      <c r="C87" s="181"/>
      <c r="D87" s="181"/>
      <c r="E87" s="181"/>
      <c r="F87" s="150">
        <v>-5</v>
      </c>
      <c r="G87" s="150">
        <v>-2</v>
      </c>
      <c r="H87" s="165"/>
      <c r="N87" s="165"/>
    </row>
    <row r="88" spans="2:14" x14ac:dyDescent="0.2">
      <c r="B88" s="166" t="s">
        <v>762</v>
      </c>
      <c r="C88" s="181"/>
      <c r="D88" s="181"/>
      <c r="E88" s="181"/>
      <c r="F88" s="150">
        <v>-3</v>
      </c>
      <c r="G88" s="150">
        <v>-3</v>
      </c>
      <c r="H88" s="165"/>
      <c r="N88" s="165"/>
    </row>
    <row r="89" spans="2:14" x14ac:dyDescent="0.2">
      <c r="B89" s="80" t="s">
        <v>847</v>
      </c>
      <c r="C89" s="146">
        <v>0</v>
      </c>
      <c r="D89" s="146">
        <v>0</v>
      </c>
      <c r="E89" s="146">
        <v>0</v>
      </c>
      <c r="F89" s="146">
        <v>0</v>
      </c>
      <c r="G89" s="146">
        <v>0</v>
      </c>
      <c r="H89" s="165"/>
      <c r="N89" s="165"/>
    </row>
    <row r="90" spans="2:14" x14ac:dyDescent="0.2">
      <c r="B90" s="80" t="s">
        <v>43</v>
      </c>
      <c r="C90" s="150">
        <v>-23</v>
      </c>
      <c r="D90" s="150">
        <v>-13</v>
      </c>
      <c r="E90" s="146">
        <v>100</v>
      </c>
      <c r="F90" s="146">
        <f>-31+131</f>
        <v>100</v>
      </c>
      <c r="G90" s="150">
        <v>-23</v>
      </c>
      <c r="H90" s="165"/>
      <c r="N90" s="165"/>
    </row>
    <row r="91" spans="2:14" ht="15" thickBot="1" x14ac:dyDescent="0.25">
      <c r="B91" s="80"/>
      <c r="C91" s="146"/>
      <c r="D91" s="146"/>
      <c r="E91" s="146"/>
      <c r="F91" s="146"/>
      <c r="G91" s="146"/>
      <c r="H91" s="165"/>
      <c r="N91" s="165"/>
    </row>
    <row r="92" spans="2:14" ht="15" thickBot="1" x14ac:dyDescent="0.25">
      <c r="B92" s="81" t="s">
        <v>44</v>
      </c>
      <c r="C92" s="152">
        <v>-124</v>
      </c>
      <c r="D92" s="152">
        <v>-115</v>
      </c>
      <c r="E92" s="152">
        <v>-7</v>
      </c>
      <c r="F92" s="152">
        <f>SUM(F84:F86,F89:F90)</f>
        <v>-7</v>
      </c>
      <c r="G92" s="152">
        <f>SUM(G84:G86,G89:G90)</f>
        <v>-133</v>
      </c>
      <c r="H92" s="165"/>
      <c r="N92" s="165"/>
    </row>
    <row r="93" spans="2:14" ht="15" thickBot="1" x14ac:dyDescent="0.25">
      <c r="B93" s="80"/>
      <c r="C93" s="146"/>
      <c r="D93" s="146"/>
      <c r="E93" s="146"/>
      <c r="F93" s="146"/>
      <c r="G93" s="146"/>
      <c r="H93" s="165"/>
      <c r="N93" s="165"/>
    </row>
    <row r="94" spans="2:14" x14ac:dyDescent="0.2">
      <c r="B94" s="168" t="s">
        <v>1024</v>
      </c>
      <c r="C94" s="177">
        <f>3445-3408</f>
        <v>37</v>
      </c>
      <c r="D94" s="177">
        <f>3970-3785</f>
        <v>185</v>
      </c>
      <c r="E94" s="177">
        <f>3431-2965</f>
        <v>466</v>
      </c>
      <c r="F94" s="177">
        <f>3431-2965</f>
        <v>466</v>
      </c>
      <c r="G94" s="177">
        <f>3553-3373</f>
        <v>180</v>
      </c>
      <c r="H94" s="165"/>
      <c r="N94" s="165"/>
    </row>
    <row r="95" spans="2:14" x14ac:dyDescent="0.2">
      <c r="B95" s="84" t="s">
        <v>1025</v>
      </c>
      <c r="C95" s="121">
        <f>2699-2442</f>
        <v>257</v>
      </c>
      <c r="D95" s="121">
        <f>2346-2671</f>
        <v>-325</v>
      </c>
      <c r="E95" s="121">
        <f>1038-2092</f>
        <v>-1054</v>
      </c>
      <c r="F95" s="121">
        <f>1038-2092</f>
        <v>-1054</v>
      </c>
      <c r="G95" s="121">
        <f>1159-1438</f>
        <v>-279</v>
      </c>
      <c r="H95" s="165"/>
      <c r="N95" s="165"/>
    </row>
    <row r="96" spans="2:14" x14ac:dyDescent="0.2">
      <c r="B96" s="84" t="s">
        <v>1027</v>
      </c>
      <c r="C96" s="184"/>
      <c r="D96" s="184"/>
      <c r="E96" s="184"/>
      <c r="F96" s="121">
        <v>360</v>
      </c>
      <c r="G96" s="121">
        <v>425</v>
      </c>
      <c r="H96" s="165"/>
      <c r="N96" s="165"/>
    </row>
    <row r="97" spans="2:11" ht="15" thickBot="1" x14ac:dyDescent="0.25">
      <c r="B97" s="169" t="s">
        <v>935</v>
      </c>
      <c r="C97" s="178">
        <v>6</v>
      </c>
      <c r="D97" s="178">
        <v>6</v>
      </c>
      <c r="E97" s="178">
        <v>7</v>
      </c>
      <c r="F97" s="178">
        <v>7</v>
      </c>
      <c r="G97" s="178">
        <v>1</v>
      </c>
    </row>
    <row r="98" spans="2:11" ht="15" thickBot="1" x14ac:dyDescent="0.25">
      <c r="B98" s="80"/>
      <c r="C98" s="146"/>
      <c r="D98" s="146"/>
      <c r="E98" s="146"/>
      <c r="F98" s="146"/>
      <c r="G98" s="146"/>
    </row>
    <row r="99" spans="2:11" ht="15" thickBot="1" x14ac:dyDescent="0.25">
      <c r="B99" s="81" t="s">
        <v>46</v>
      </c>
      <c r="C99" s="120">
        <v>622</v>
      </c>
      <c r="D99" s="120">
        <v>621</v>
      </c>
      <c r="E99" s="120">
        <v>629</v>
      </c>
      <c r="F99" s="120">
        <v>629</v>
      </c>
      <c r="G99" s="120">
        <v>632</v>
      </c>
    </row>
    <row r="100" spans="2:11" x14ac:dyDescent="0.2">
      <c r="B100" s="105"/>
      <c r="C100" s="105"/>
      <c r="D100" s="105"/>
      <c r="E100" s="105"/>
      <c r="F100" s="105"/>
      <c r="G100" s="105"/>
    </row>
    <row r="101" spans="2:11" ht="27.75" customHeight="1" x14ac:dyDescent="0.2">
      <c r="B101" s="603" t="s">
        <v>933</v>
      </c>
      <c r="C101" s="603"/>
      <c r="D101" s="603"/>
      <c r="E101" s="603"/>
      <c r="F101" s="603"/>
      <c r="G101" s="603"/>
      <c r="H101" s="603"/>
      <c r="I101" s="603"/>
      <c r="J101" s="603"/>
      <c r="K101" s="603"/>
    </row>
    <row r="102" spans="2:11" ht="36" customHeight="1" x14ac:dyDescent="0.2">
      <c r="B102" s="598" t="s">
        <v>39</v>
      </c>
      <c r="C102" s="598"/>
      <c r="D102" s="598"/>
      <c r="E102" s="598"/>
      <c r="F102" s="598"/>
      <c r="G102" s="598"/>
      <c r="H102" s="598"/>
      <c r="I102" s="598"/>
      <c r="J102" s="598"/>
      <c r="K102" s="598"/>
    </row>
    <row r="103" spans="2:11" ht="36" customHeight="1" x14ac:dyDescent="0.2">
      <c r="B103" s="598" t="s">
        <v>631</v>
      </c>
      <c r="C103" s="598"/>
      <c r="D103" s="598"/>
      <c r="E103" s="598"/>
      <c r="F103" s="598"/>
      <c r="G103" s="598"/>
      <c r="H103" s="598"/>
      <c r="I103" s="598"/>
      <c r="J103" s="598"/>
      <c r="K103" s="598"/>
    </row>
    <row r="104" spans="2:11" x14ac:dyDescent="0.2">
      <c r="B104" s="109" t="s">
        <v>883</v>
      </c>
      <c r="C104" s="105"/>
      <c r="D104" s="105"/>
      <c r="E104" s="105"/>
      <c r="F104" s="105"/>
      <c r="G104" s="105"/>
    </row>
    <row r="105" spans="2:11" ht="39" customHeight="1" x14ac:dyDescent="0.2">
      <c r="B105" s="601" t="s">
        <v>934</v>
      </c>
      <c r="C105" s="601"/>
      <c r="D105" s="601"/>
      <c r="E105" s="601"/>
      <c r="F105" s="601"/>
      <c r="G105" s="601"/>
      <c r="H105" s="601"/>
      <c r="I105" s="601"/>
      <c r="J105" s="601"/>
      <c r="K105" s="601"/>
    </row>
    <row r="106" spans="2:11" x14ac:dyDescent="0.2">
      <c r="B106" s="109" t="s">
        <v>1023</v>
      </c>
    </row>
    <row r="107" spans="2:11" x14ac:dyDescent="0.2">
      <c r="B107" s="109" t="s">
        <v>1026</v>
      </c>
    </row>
    <row r="108" spans="2:11" x14ac:dyDescent="0.2">
      <c r="B108" s="109" t="s">
        <v>1028</v>
      </c>
    </row>
  </sheetData>
  <mergeCells count="4">
    <mergeCell ref="B102:K102"/>
    <mergeCell ref="B103:K103"/>
    <mergeCell ref="B105:K105"/>
    <mergeCell ref="B101:K101"/>
  </mergeCells>
  <pageMargins left="0.70866141732283472" right="0.70866141732283472" top="0.74803149606299213" bottom="0.74803149606299213" header="0.31496062992125984" footer="0.31496062992125984"/>
  <pageSetup paperSize="9" scale="48" fitToHeight="2" orientation="portrait" r:id="rId1"/>
  <rowBreaks count="1" manualBreakCount="1">
    <brk id="71"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0DF2B-F713-4A3D-949A-E5C9B45AC8A4}">
  <sheetPr codeName="Foglio8">
    <tabColor theme="3"/>
  </sheetPr>
  <dimension ref="A8:K80"/>
  <sheetViews>
    <sheetView showGridLines="0" zoomScaleNormal="100" workbookViewId="0">
      <selection activeCell="B9" sqref="B9:C9"/>
    </sheetView>
  </sheetViews>
  <sheetFormatPr defaultColWidth="9.140625" defaultRowHeight="14.25" x14ac:dyDescent="0.2"/>
  <cols>
    <col min="1" max="1" width="5.7109375" style="13" customWidth="1"/>
    <col min="2" max="2" width="41.5703125" style="105" customWidth="1"/>
    <col min="3" max="4" width="10.28515625" style="105" bestFit="1" customWidth="1"/>
    <col min="5" max="5" width="9.5703125" style="105" customWidth="1"/>
    <col min="6" max="6" width="11.140625" style="105" customWidth="1"/>
    <col min="7" max="7" width="10.28515625" style="105" bestFit="1" customWidth="1"/>
    <col min="8" max="16384" width="9.140625" style="105"/>
  </cols>
  <sheetData>
    <row r="8" spans="2:7" ht="21" thickBot="1" x14ac:dyDescent="0.35">
      <c r="B8" s="162" t="s">
        <v>853</v>
      </c>
      <c r="C8" s="108"/>
      <c r="D8" s="87"/>
      <c r="E8" s="87"/>
      <c r="F8" s="87"/>
      <c r="G8" s="87"/>
    </row>
    <row r="9" spans="2:7" ht="15" thickBot="1" x14ac:dyDescent="0.25">
      <c r="B9" s="114" t="s">
        <v>766</v>
      </c>
      <c r="C9" s="163">
        <v>2015</v>
      </c>
      <c r="D9" s="163">
        <v>2016</v>
      </c>
      <c r="E9" s="163">
        <v>2017</v>
      </c>
      <c r="F9" s="163" t="s">
        <v>741</v>
      </c>
      <c r="G9" s="163" t="s">
        <v>944</v>
      </c>
    </row>
    <row r="10" spans="2:7" x14ac:dyDescent="0.2">
      <c r="B10" s="80"/>
      <c r="C10" s="80"/>
      <c r="D10" s="80"/>
      <c r="E10" s="80"/>
      <c r="F10" s="80"/>
      <c r="G10" s="80"/>
    </row>
    <row r="11" spans="2:7" ht="15" thickBot="1" x14ac:dyDescent="0.25">
      <c r="B11" s="169" t="s">
        <v>86</v>
      </c>
      <c r="C11" s="169"/>
      <c r="D11" s="169"/>
      <c r="E11" s="169"/>
      <c r="F11" s="169"/>
      <c r="G11" s="169"/>
    </row>
    <row r="12" spans="2:7" x14ac:dyDescent="0.2">
      <c r="B12" s="80"/>
      <c r="C12" s="80"/>
      <c r="D12" s="80"/>
      <c r="E12" s="80"/>
      <c r="F12" s="80"/>
      <c r="G12" s="80"/>
    </row>
    <row r="13" spans="2:7" x14ac:dyDescent="0.2">
      <c r="B13" s="80" t="s">
        <v>50</v>
      </c>
      <c r="C13" s="146">
        <v>14116</v>
      </c>
      <c r="D13" s="146">
        <v>16765</v>
      </c>
      <c r="E13" s="146">
        <v>16469</v>
      </c>
      <c r="F13" s="146">
        <v>16469</v>
      </c>
      <c r="G13" s="146">
        <v>14763</v>
      </c>
    </row>
    <row r="14" spans="2:7" x14ac:dyDescent="0.2">
      <c r="B14" s="80" t="s">
        <v>51</v>
      </c>
      <c r="C14" s="146">
        <v>3378</v>
      </c>
      <c r="D14" s="146">
        <v>2490</v>
      </c>
      <c r="E14" s="146">
        <v>2209</v>
      </c>
      <c r="F14" s="146">
        <v>2209</v>
      </c>
      <c r="G14" s="146">
        <v>3080</v>
      </c>
    </row>
    <row r="15" spans="2:7" x14ac:dyDescent="0.2">
      <c r="B15" s="80" t="s">
        <v>89</v>
      </c>
      <c r="C15" s="146">
        <v>987</v>
      </c>
      <c r="D15" s="146">
        <v>1103</v>
      </c>
      <c r="E15" s="146">
        <v>1064</v>
      </c>
      <c r="F15" s="146">
        <v>1064</v>
      </c>
      <c r="G15" s="146">
        <v>955</v>
      </c>
    </row>
    <row r="16" spans="2:7" ht="15" thickBot="1" x14ac:dyDescent="0.25">
      <c r="B16" s="80"/>
      <c r="C16" s="146"/>
      <c r="D16" s="146"/>
      <c r="E16" s="146"/>
      <c r="F16" s="146"/>
      <c r="G16" s="146"/>
    </row>
    <row r="17" spans="2:7" ht="15" thickBot="1" x14ac:dyDescent="0.25">
      <c r="B17" s="81" t="s">
        <v>884</v>
      </c>
      <c r="C17" s="120">
        <v>18481</v>
      </c>
      <c r="D17" s="120">
        <v>20358</v>
      </c>
      <c r="E17" s="120">
        <v>19742</v>
      </c>
      <c r="F17" s="120">
        <v>19742</v>
      </c>
      <c r="G17" s="120">
        <v>18798</v>
      </c>
    </row>
    <row r="18" spans="2:7" x14ac:dyDescent="0.2">
      <c r="B18" s="80"/>
      <c r="C18" s="146"/>
      <c r="D18" s="146"/>
      <c r="E18" s="146"/>
      <c r="F18" s="146"/>
      <c r="G18" s="146"/>
    </row>
    <row r="19" spans="2:7" x14ac:dyDescent="0.2">
      <c r="B19" s="80" t="s">
        <v>945</v>
      </c>
      <c r="C19" s="146">
        <v>70952</v>
      </c>
      <c r="D19" s="146">
        <v>70836</v>
      </c>
      <c r="E19" s="146">
        <v>54002</v>
      </c>
      <c r="F19" s="146">
        <v>33288</v>
      </c>
      <c r="G19" s="146">
        <v>24020</v>
      </c>
    </row>
    <row r="20" spans="2:7" ht="15" thickBot="1" x14ac:dyDescent="0.25">
      <c r="B20" s="80"/>
      <c r="C20" s="146"/>
      <c r="D20" s="146"/>
      <c r="E20" s="146"/>
      <c r="F20" s="146"/>
      <c r="G20" s="146"/>
    </row>
    <row r="21" spans="2:7" ht="15" thickBot="1" x14ac:dyDescent="0.25">
      <c r="B21" s="81" t="s">
        <v>52</v>
      </c>
      <c r="C21" s="120">
        <f>SUM(C17:C19)</f>
        <v>89433</v>
      </c>
      <c r="D21" s="120">
        <f t="shared" ref="D21:G21" si="0">SUM(D17:D19)</f>
        <v>91194</v>
      </c>
      <c r="E21" s="120">
        <f t="shared" si="0"/>
        <v>73744</v>
      </c>
      <c r="F21" s="120">
        <f t="shared" si="0"/>
        <v>53030</v>
      </c>
      <c r="G21" s="120">
        <f t="shared" si="0"/>
        <v>42818</v>
      </c>
    </row>
    <row r="22" spans="2:7" x14ac:dyDescent="0.2">
      <c r="B22" s="80"/>
      <c r="C22" s="146"/>
      <c r="D22" s="146"/>
      <c r="E22" s="146"/>
      <c r="F22" s="146"/>
      <c r="G22" s="146"/>
    </row>
    <row r="23" spans="2:7" x14ac:dyDescent="0.2">
      <c r="B23" s="80"/>
      <c r="C23" s="146"/>
      <c r="D23" s="146"/>
      <c r="E23" s="146"/>
      <c r="F23" s="146"/>
      <c r="G23" s="146"/>
    </row>
    <row r="24" spans="2:7" ht="15" thickBot="1" x14ac:dyDescent="0.25">
      <c r="B24" s="169" t="s">
        <v>91</v>
      </c>
      <c r="C24" s="178"/>
      <c r="D24" s="178"/>
      <c r="E24" s="178"/>
      <c r="F24" s="178"/>
      <c r="G24" s="178"/>
    </row>
    <row r="25" spans="2:7" x14ac:dyDescent="0.2">
      <c r="B25" s="80"/>
      <c r="C25" s="146"/>
      <c r="D25" s="146"/>
      <c r="E25" s="146"/>
      <c r="F25" s="146"/>
      <c r="G25" s="146"/>
    </row>
    <row r="26" spans="2:7" x14ac:dyDescent="0.2">
      <c r="B26" s="80" t="s">
        <v>947</v>
      </c>
      <c r="C26" s="146">
        <v>17108</v>
      </c>
      <c r="D26" s="146">
        <v>11582</v>
      </c>
      <c r="E26" s="146">
        <v>10927</v>
      </c>
      <c r="F26" s="146">
        <v>10927</v>
      </c>
      <c r="G26" s="146">
        <v>13694</v>
      </c>
    </row>
    <row r="27" spans="2:7" x14ac:dyDescent="0.2">
      <c r="B27" s="80" t="s">
        <v>949</v>
      </c>
      <c r="C27" s="146">
        <v>72325</v>
      </c>
      <c r="D27" s="146">
        <v>79612</v>
      </c>
      <c r="E27" s="146">
        <v>62817</v>
      </c>
      <c r="F27" s="146">
        <v>42103</v>
      </c>
      <c r="G27" s="146">
        <v>29124</v>
      </c>
    </row>
    <row r="28" spans="2:7" ht="15" thickBot="1" x14ac:dyDescent="0.25">
      <c r="B28" s="80"/>
      <c r="C28" s="146"/>
      <c r="D28" s="146"/>
      <c r="E28" s="146"/>
      <c r="F28" s="146"/>
      <c r="G28" s="146"/>
    </row>
    <row r="29" spans="2:7" ht="15" thickBot="1" x14ac:dyDescent="0.25">
      <c r="B29" s="81" t="s">
        <v>53</v>
      </c>
      <c r="C29" s="120">
        <f>SUM(C26:C28)</f>
        <v>89433</v>
      </c>
      <c r="D29" s="120">
        <f t="shared" ref="D29:G29" si="1">SUM(D26:D28)</f>
        <v>91194</v>
      </c>
      <c r="E29" s="120">
        <f t="shared" si="1"/>
        <v>73744</v>
      </c>
      <c r="F29" s="120">
        <f t="shared" si="1"/>
        <v>53030</v>
      </c>
      <c r="G29" s="120">
        <f t="shared" si="1"/>
        <v>42818</v>
      </c>
    </row>
    <row r="30" spans="2:7" x14ac:dyDescent="0.2">
      <c r="B30" s="80"/>
      <c r="C30" s="80"/>
      <c r="D30" s="80"/>
      <c r="E30" s="80"/>
      <c r="F30" s="80"/>
      <c r="G30" s="80"/>
    </row>
    <row r="31" spans="2:7" x14ac:dyDescent="0.2">
      <c r="B31" s="109" t="s">
        <v>885</v>
      </c>
    </row>
    <row r="32" spans="2:7" x14ac:dyDescent="0.2">
      <c r="B32" s="109" t="s">
        <v>946</v>
      </c>
    </row>
    <row r="33" spans="2:7" x14ac:dyDescent="0.2">
      <c r="B33" s="109" t="s">
        <v>948</v>
      </c>
    </row>
    <row r="34" spans="2:7" x14ac:dyDescent="0.2">
      <c r="B34" s="109" t="s">
        <v>950</v>
      </c>
    </row>
    <row r="37" spans="2:7" ht="21" thickBot="1" x14ac:dyDescent="0.35">
      <c r="B37" s="162" t="s">
        <v>854</v>
      </c>
      <c r="C37" s="108"/>
      <c r="D37" s="87"/>
      <c r="E37" s="87"/>
      <c r="F37" s="87"/>
      <c r="G37" s="87"/>
    </row>
    <row r="38" spans="2:7" ht="15" thickBot="1" x14ac:dyDescent="0.25">
      <c r="B38" s="114" t="s">
        <v>908</v>
      </c>
      <c r="C38" s="163">
        <v>2015</v>
      </c>
      <c r="D38" s="163">
        <v>2016</v>
      </c>
      <c r="E38" s="163">
        <v>2017</v>
      </c>
      <c r="F38" s="163" t="s">
        <v>951</v>
      </c>
      <c r="G38" s="163" t="s">
        <v>952</v>
      </c>
    </row>
    <row r="39" spans="2:7" x14ac:dyDescent="0.2">
      <c r="B39" s="180"/>
      <c r="C39" s="180"/>
      <c r="D39" s="180"/>
      <c r="E39" s="180"/>
      <c r="F39" s="180"/>
      <c r="G39" s="180"/>
    </row>
    <row r="40" spans="2:7" ht="15" thickBot="1" x14ac:dyDescent="0.25">
      <c r="B40" s="169" t="s">
        <v>86</v>
      </c>
      <c r="C40" s="169"/>
      <c r="D40" s="169"/>
      <c r="E40" s="169"/>
      <c r="F40" s="169"/>
      <c r="G40" s="169"/>
    </row>
    <row r="41" spans="2:7" x14ac:dyDescent="0.2">
      <c r="B41" s="80"/>
      <c r="C41" s="80"/>
      <c r="D41" s="80"/>
      <c r="E41" s="80"/>
      <c r="F41" s="80"/>
      <c r="G41" s="80"/>
    </row>
    <row r="42" spans="2:7" x14ac:dyDescent="0.2">
      <c r="B42" s="80" t="s">
        <v>954</v>
      </c>
      <c r="C42" s="146">
        <v>485</v>
      </c>
      <c r="D42" s="146">
        <v>521</v>
      </c>
      <c r="E42" s="146">
        <v>437</v>
      </c>
      <c r="F42" s="146">
        <v>437</v>
      </c>
      <c r="G42" s="146">
        <v>354</v>
      </c>
    </row>
    <row r="43" spans="2:7" x14ac:dyDescent="0.2">
      <c r="B43" s="80" t="s">
        <v>54</v>
      </c>
      <c r="C43" s="146">
        <v>12722</v>
      </c>
      <c r="D43" s="146">
        <v>14615</v>
      </c>
      <c r="E43" s="146">
        <v>15102</v>
      </c>
      <c r="F43" s="146">
        <v>15102</v>
      </c>
      <c r="G43" s="146">
        <v>14566</v>
      </c>
    </row>
    <row r="44" spans="2:7" x14ac:dyDescent="0.2">
      <c r="B44" s="80" t="s">
        <v>55</v>
      </c>
      <c r="C44" s="146">
        <v>4172</v>
      </c>
      <c r="D44" s="146">
        <v>6745</v>
      </c>
      <c r="E44" s="146">
        <v>5843</v>
      </c>
      <c r="F44" s="146">
        <v>5843</v>
      </c>
      <c r="G44" s="146">
        <v>5811</v>
      </c>
    </row>
    <row r="45" spans="2:7" x14ac:dyDescent="0.2">
      <c r="B45" s="80" t="s">
        <v>956</v>
      </c>
      <c r="C45" s="146">
        <v>197</v>
      </c>
      <c r="D45" s="146">
        <v>0</v>
      </c>
      <c r="E45" s="150">
        <v>-94</v>
      </c>
      <c r="F45" s="150">
        <v>-94</v>
      </c>
      <c r="G45" s="150">
        <v>-17</v>
      </c>
    </row>
    <row r="46" spans="2:7" ht="15" thickBot="1" x14ac:dyDescent="0.25">
      <c r="B46" s="80"/>
      <c r="C46" s="146"/>
      <c r="D46" s="146"/>
      <c r="E46" s="146"/>
      <c r="F46" s="146"/>
      <c r="G46" s="146"/>
    </row>
    <row r="47" spans="2:7" ht="15" thickBot="1" x14ac:dyDescent="0.25">
      <c r="B47" s="81" t="s">
        <v>52</v>
      </c>
      <c r="C47" s="120">
        <f>SUM(C42:C46)</f>
        <v>17576</v>
      </c>
      <c r="D47" s="120">
        <f t="shared" ref="D47:G47" si="2">SUM(D42:D46)</f>
        <v>21881</v>
      </c>
      <c r="E47" s="120">
        <f t="shared" si="2"/>
        <v>21288</v>
      </c>
      <c r="F47" s="120">
        <f t="shared" si="2"/>
        <v>21288</v>
      </c>
      <c r="G47" s="120">
        <f t="shared" si="2"/>
        <v>20714</v>
      </c>
    </row>
    <row r="48" spans="2:7" ht="15" thickBot="1" x14ac:dyDescent="0.25">
      <c r="B48" s="80"/>
      <c r="C48" s="146"/>
      <c r="D48" s="146"/>
      <c r="E48" s="146"/>
      <c r="F48" s="146"/>
      <c r="G48" s="146"/>
    </row>
    <row r="49" spans="2:7" ht="15" thickBot="1" x14ac:dyDescent="0.25">
      <c r="B49" s="81" t="s">
        <v>959</v>
      </c>
      <c r="C49" s="120">
        <v>1508</v>
      </c>
      <c r="D49" s="120">
        <v>1403</v>
      </c>
      <c r="E49" s="120">
        <v>1636</v>
      </c>
      <c r="F49" s="120">
        <v>1636</v>
      </c>
      <c r="G49" s="120">
        <v>1909</v>
      </c>
    </row>
    <row r="50" spans="2:7" x14ac:dyDescent="0.2">
      <c r="B50" s="80"/>
      <c r="C50" s="80"/>
      <c r="D50" s="80"/>
      <c r="E50" s="80"/>
      <c r="F50" s="80"/>
      <c r="G50" s="80"/>
    </row>
    <row r="51" spans="2:7" x14ac:dyDescent="0.2">
      <c r="B51" s="80"/>
      <c r="C51" s="80"/>
      <c r="D51" s="80"/>
      <c r="E51" s="80"/>
      <c r="F51" s="80"/>
      <c r="G51" s="80"/>
    </row>
    <row r="52" spans="2:7" ht="15" thickBot="1" x14ac:dyDescent="0.25">
      <c r="B52" s="169" t="s">
        <v>91</v>
      </c>
      <c r="C52" s="169"/>
      <c r="D52" s="169"/>
      <c r="E52" s="169"/>
      <c r="F52" s="169"/>
      <c r="G52" s="169"/>
    </row>
    <row r="53" spans="2:7" x14ac:dyDescent="0.2">
      <c r="B53" s="80"/>
      <c r="C53" s="80"/>
      <c r="D53" s="80"/>
      <c r="E53" s="80"/>
      <c r="F53" s="80"/>
      <c r="G53" s="80"/>
    </row>
    <row r="54" spans="2:7" x14ac:dyDescent="0.2">
      <c r="B54" s="80" t="s">
        <v>56</v>
      </c>
      <c r="C54" s="146">
        <v>2648</v>
      </c>
      <c r="D54" s="146">
        <v>2562</v>
      </c>
      <c r="E54" s="146">
        <v>2404</v>
      </c>
      <c r="F54" s="146">
        <v>2404</v>
      </c>
      <c r="G54" s="146">
        <v>2804</v>
      </c>
    </row>
    <row r="55" spans="2:7" x14ac:dyDescent="0.2">
      <c r="B55" s="80" t="s">
        <v>57</v>
      </c>
      <c r="C55" s="146">
        <v>3385</v>
      </c>
      <c r="D55" s="146">
        <v>3970</v>
      </c>
      <c r="E55" s="146">
        <v>4507</v>
      </c>
      <c r="F55" s="146">
        <v>4507</v>
      </c>
      <c r="G55" s="146">
        <v>4518</v>
      </c>
    </row>
    <row r="56" spans="2:7" x14ac:dyDescent="0.2">
      <c r="B56" s="80" t="s">
        <v>58</v>
      </c>
      <c r="C56" s="146">
        <v>5671</v>
      </c>
      <c r="D56" s="146">
        <v>7320</v>
      </c>
      <c r="E56" s="146">
        <v>7311</v>
      </c>
      <c r="F56" s="146">
        <v>7311</v>
      </c>
      <c r="G56" s="146">
        <v>6501</v>
      </c>
    </row>
    <row r="57" spans="2:7" x14ac:dyDescent="0.2">
      <c r="B57" s="80" t="s">
        <v>59</v>
      </c>
      <c r="C57" s="146">
        <v>5872</v>
      </c>
      <c r="D57" s="146">
        <v>8029</v>
      </c>
      <c r="E57" s="146">
        <v>7066</v>
      </c>
      <c r="F57" s="146">
        <v>7066</v>
      </c>
      <c r="G57" s="146">
        <v>6890</v>
      </c>
    </row>
    <row r="58" spans="2:7" ht="15" thickBot="1" x14ac:dyDescent="0.25">
      <c r="B58" s="80"/>
      <c r="C58" s="146"/>
      <c r="D58" s="146"/>
      <c r="E58" s="146"/>
      <c r="F58" s="146"/>
      <c r="G58" s="146"/>
    </row>
    <row r="59" spans="2:7" ht="15" thickBot="1" x14ac:dyDescent="0.25">
      <c r="B59" s="81" t="s">
        <v>53</v>
      </c>
      <c r="C59" s="120">
        <f>SUM(C54:C58)</f>
        <v>17576</v>
      </c>
      <c r="D59" s="120">
        <f t="shared" ref="D59:G59" si="3">SUM(D54:D58)</f>
        <v>21881</v>
      </c>
      <c r="E59" s="120">
        <f t="shared" si="3"/>
        <v>21288</v>
      </c>
      <c r="F59" s="120">
        <f t="shared" si="3"/>
        <v>21288</v>
      </c>
      <c r="G59" s="120">
        <f t="shared" si="3"/>
        <v>20713</v>
      </c>
    </row>
    <row r="60" spans="2:7" ht="15" thickBot="1" x14ac:dyDescent="0.25">
      <c r="B60" s="80"/>
      <c r="C60" s="146"/>
      <c r="D60" s="146"/>
      <c r="E60" s="146"/>
      <c r="F60" s="146"/>
      <c r="G60" s="146"/>
    </row>
    <row r="61" spans="2:7" ht="15" thickBot="1" x14ac:dyDescent="0.25">
      <c r="B61" s="81" t="s">
        <v>960</v>
      </c>
      <c r="C61" s="120">
        <v>1508</v>
      </c>
      <c r="D61" s="120">
        <v>1403</v>
      </c>
      <c r="E61" s="120">
        <v>1636</v>
      </c>
      <c r="F61" s="120">
        <v>1636</v>
      </c>
      <c r="G61" s="120">
        <v>1909</v>
      </c>
    </row>
    <row r="62" spans="2:7" x14ac:dyDescent="0.2">
      <c r="B62" s="84"/>
      <c r="C62" s="121"/>
      <c r="D62" s="121"/>
      <c r="E62" s="121"/>
      <c r="F62" s="121"/>
      <c r="G62" s="121"/>
    </row>
    <row r="63" spans="2:7" x14ac:dyDescent="0.2">
      <c r="B63" s="80"/>
      <c r="C63" s="80"/>
      <c r="D63" s="80"/>
      <c r="E63" s="80"/>
      <c r="F63" s="80"/>
      <c r="G63" s="80"/>
    </row>
    <row r="64" spans="2:7" ht="21" thickBot="1" x14ac:dyDescent="0.35">
      <c r="B64" s="162" t="s">
        <v>855</v>
      </c>
      <c r="C64" s="108"/>
      <c r="D64" s="87"/>
      <c r="E64" s="87"/>
      <c r="F64" s="87"/>
      <c r="G64" s="87"/>
    </row>
    <row r="65" spans="2:11" ht="15" thickBot="1" x14ac:dyDescent="0.25">
      <c r="B65" s="114" t="s">
        <v>768</v>
      </c>
      <c r="C65" s="163">
        <v>2015</v>
      </c>
      <c r="D65" s="163">
        <v>2016</v>
      </c>
      <c r="E65" s="163">
        <v>2017</v>
      </c>
      <c r="F65" s="163" t="s">
        <v>741</v>
      </c>
      <c r="G65" s="163" t="s">
        <v>742</v>
      </c>
    </row>
    <row r="66" spans="2:11" ht="15" thickBot="1" x14ac:dyDescent="0.25">
      <c r="B66" s="80"/>
      <c r="C66" s="80"/>
      <c r="D66" s="80"/>
      <c r="E66" s="80"/>
      <c r="F66" s="80"/>
      <c r="G66" s="80"/>
    </row>
    <row r="67" spans="2:11" x14ac:dyDescent="0.2">
      <c r="B67" s="144" t="s">
        <v>60</v>
      </c>
      <c r="C67" s="148">
        <v>2546</v>
      </c>
      <c r="D67" s="148">
        <v>2163</v>
      </c>
      <c r="E67" s="148">
        <v>1874</v>
      </c>
      <c r="F67" s="148">
        <v>1874</v>
      </c>
      <c r="G67" s="148">
        <v>1664</v>
      </c>
    </row>
    <row r="68" spans="2:11" ht="15" thickBot="1" x14ac:dyDescent="0.25">
      <c r="B68" s="187" t="s">
        <v>961</v>
      </c>
      <c r="C68" s="174">
        <v>1808</v>
      </c>
      <c r="D68" s="174">
        <v>1980</v>
      </c>
      <c r="E68" s="174">
        <v>2127</v>
      </c>
      <c r="F68" s="174">
        <v>2127</v>
      </c>
      <c r="G68" s="174">
        <v>2349</v>
      </c>
    </row>
    <row r="69" spans="2:11" ht="15" thickBot="1" x14ac:dyDescent="0.25">
      <c r="B69" s="80"/>
      <c r="C69" s="146"/>
      <c r="D69" s="146"/>
      <c r="E69" s="146"/>
      <c r="F69" s="146"/>
      <c r="G69" s="146"/>
    </row>
    <row r="70" spans="2:11" ht="15" thickBot="1" x14ac:dyDescent="0.25">
      <c r="B70" s="81" t="s">
        <v>61</v>
      </c>
      <c r="C70" s="120">
        <f>SUM(C67:C69)</f>
        <v>4354</v>
      </c>
      <c r="D70" s="120">
        <f t="shared" ref="D70:G70" si="4">SUM(D67:D69)</f>
        <v>4143</v>
      </c>
      <c r="E70" s="120">
        <f t="shared" si="4"/>
        <v>4001</v>
      </c>
      <c r="F70" s="120">
        <f t="shared" si="4"/>
        <v>4001</v>
      </c>
      <c r="G70" s="120">
        <f t="shared" si="4"/>
        <v>4013</v>
      </c>
    </row>
    <row r="71" spans="2:11" ht="15" thickBot="1" x14ac:dyDescent="0.25">
      <c r="B71" s="80"/>
      <c r="C71" s="146"/>
      <c r="D71" s="146"/>
      <c r="E71" s="146"/>
      <c r="F71" s="146"/>
      <c r="G71" s="146"/>
    </row>
    <row r="72" spans="2:11" x14ac:dyDescent="0.2">
      <c r="B72" s="144" t="s">
        <v>769</v>
      </c>
      <c r="C72" s="148">
        <v>42</v>
      </c>
      <c r="D72" s="148">
        <v>40.4</v>
      </c>
      <c r="E72" s="148">
        <v>36.5</v>
      </c>
      <c r="F72" s="148">
        <v>36.5</v>
      </c>
      <c r="G72" s="148">
        <v>34.1</v>
      </c>
    </row>
    <row r="73" spans="2:11" ht="15" thickBot="1" x14ac:dyDescent="0.25">
      <c r="B73" s="187" t="s">
        <v>770</v>
      </c>
      <c r="C73" s="174">
        <v>257.5</v>
      </c>
      <c r="D73" s="174">
        <v>248.4</v>
      </c>
      <c r="E73" s="174">
        <v>224</v>
      </c>
      <c r="F73" s="174">
        <v>224</v>
      </c>
      <c r="G73" s="174">
        <v>209.1</v>
      </c>
    </row>
    <row r="75" spans="2:11" x14ac:dyDescent="0.2">
      <c r="B75" s="601" t="s">
        <v>953</v>
      </c>
      <c r="C75" s="601"/>
      <c r="D75" s="601"/>
      <c r="E75" s="601"/>
      <c r="F75" s="601"/>
      <c r="G75" s="601"/>
      <c r="H75" s="601"/>
      <c r="I75" s="601"/>
      <c r="J75" s="601"/>
      <c r="K75" s="601"/>
    </row>
    <row r="76" spans="2:11" x14ac:dyDescent="0.2">
      <c r="B76" s="109" t="s">
        <v>955</v>
      </c>
    </row>
    <row r="77" spans="2:11" x14ac:dyDescent="0.2">
      <c r="B77" s="109" t="s">
        <v>957</v>
      </c>
    </row>
    <row r="78" spans="2:11" x14ac:dyDescent="0.2">
      <c r="B78" s="109" t="s">
        <v>958</v>
      </c>
    </row>
    <row r="79" spans="2:11" x14ac:dyDescent="0.2">
      <c r="B79" s="159" t="s">
        <v>628</v>
      </c>
    </row>
    <row r="80" spans="2:11" x14ac:dyDescent="0.2">
      <c r="B80" s="159" t="s">
        <v>629</v>
      </c>
    </row>
  </sheetData>
  <mergeCells count="1">
    <mergeCell ref="B75:K75"/>
  </mergeCells>
  <pageMargins left="0.7" right="0.7" top="0.75" bottom="0.75" header="0.3" footer="0.3"/>
  <pageSetup paperSize="9" scale="4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F9C60-0B32-430B-AA63-6DAC3BC44114}">
  <sheetPr codeName="Foglio9">
    <tabColor theme="3"/>
  </sheetPr>
  <dimension ref="A6:AZ193"/>
  <sheetViews>
    <sheetView showGridLines="0" tabSelected="1" zoomScaleNormal="100" workbookViewId="0">
      <pane xSplit="2" ySplit="10" topLeftCell="AD11" activePane="bottomRight" state="frozen"/>
      <selection pane="topRight" activeCell="C1" sqref="C1"/>
      <selection pane="bottomLeft" activeCell="A11" sqref="A11"/>
      <selection pane="bottomRight" activeCell="AW36" sqref="AW36"/>
    </sheetView>
  </sheetViews>
  <sheetFormatPr defaultColWidth="9.140625" defaultRowHeight="14.25" x14ac:dyDescent="0.2"/>
  <cols>
    <col min="1" max="1" width="5.7109375" style="13" customWidth="1"/>
    <col min="2" max="2" width="39.140625" style="44" customWidth="1"/>
    <col min="3" max="51" width="9.85546875" style="44" customWidth="1"/>
    <col min="52" max="52" width="10.28515625" style="44" customWidth="1"/>
    <col min="53" max="16384" width="9.140625" style="44"/>
  </cols>
  <sheetData>
    <row r="6" spans="2:52" x14ac:dyDescent="0.2">
      <c r="D6" s="105"/>
      <c r="E6" s="105"/>
      <c r="F6" s="105"/>
    </row>
    <row r="7" spans="2:52" x14ac:dyDescent="0.2">
      <c r="D7" s="105"/>
      <c r="E7" s="105"/>
      <c r="F7" s="105"/>
    </row>
    <row r="8" spans="2:52" x14ac:dyDescent="0.2">
      <c r="AR8" s="105"/>
    </row>
    <row r="9" spans="2:52" ht="21" thickBot="1" x14ac:dyDescent="0.35">
      <c r="B9" s="189" t="s">
        <v>984</v>
      </c>
      <c r="C9" s="171"/>
      <c r="D9" s="171"/>
      <c r="E9" s="171"/>
      <c r="F9" s="171">
        <v>2015</v>
      </c>
      <c r="G9" s="171"/>
      <c r="H9" s="171"/>
      <c r="I9" s="78"/>
      <c r="J9" s="171"/>
      <c r="K9" s="171"/>
      <c r="L9" s="171"/>
      <c r="M9" s="171" t="s">
        <v>881</v>
      </c>
      <c r="N9" s="171"/>
      <c r="O9" s="171"/>
      <c r="P9" s="78"/>
      <c r="Q9" s="171"/>
      <c r="R9" s="171"/>
      <c r="S9" s="171"/>
      <c r="T9" s="171">
        <v>2017</v>
      </c>
      <c r="U9" s="171"/>
      <c r="V9" s="171"/>
      <c r="W9" s="78"/>
      <c r="X9" s="171"/>
      <c r="Y9" s="171"/>
      <c r="Z9" s="171"/>
      <c r="AA9" s="171" t="s">
        <v>779</v>
      </c>
      <c r="AB9" s="171"/>
      <c r="AC9" s="171"/>
      <c r="AD9" s="78"/>
      <c r="AE9" s="171"/>
      <c r="AF9" s="171"/>
      <c r="AG9" s="171"/>
      <c r="AH9" s="171" t="s">
        <v>963</v>
      </c>
      <c r="AI9" s="171"/>
      <c r="AJ9" s="171"/>
      <c r="AK9" s="78"/>
      <c r="AL9" s="78"/>
      <c r="AM9" s="78"/>
      <c r="AN9" s="78"/>
      <c r="AO9" s="551" t="s">
        <v>1037</v>
      </c>
      <c r="AP9" s="78"/>
      <c r="AQ9" s="78"/>
      <c r="AR9" s="78"/>
      <c r="AS9" s="171"/>
      <c r="AT9" s="171"/>
      <c r="AU9" s="171"/>
      <c r="AV9" s="171" t="s">
        <v>964</v>
      </c>
      <c r="AW9" s="171"/>
      <c r="AX9" s="171"/>
      <c r="AY9" s="78"/>
      <c r="AZ9" s="57"/>
    </row>
    <row r="10" spans="2:52" ht="15.75" thickBot="1" x14ac:dyDescent="0.3">
      <c r="B10" s="114" t="s">
        <v>740</v>
      </c>
      <c r="C10" s="82" t="s">
        <v>621</v>
      </c>
      <c r="D10" s="82" t="s">
        <v>622</v>
      </c>
      <c r="E10" s="82" t="s">
        <v>623</v>
      </c>
      <c r="F10" s="82" t="s">
        <v>624</v>
      </c>
      <c r="G10" s="82" t="s">
        <v>81</v>
      </c>
      <c r="H10" s="82" t="s">
        <v>625</v>
      </c>
      <c r="I10" s="82" t="s">
        <v>82</v>
      </c>
      <c r="J10" s="73" t="s">
        <v>621</v>
      </c>
      <c r="K10" s="73" t="s">
        <v>622</v>
      </c>
      <c r="L10" s="73" t="s">
        <v>623</v>
      </c>
      <c r="M10" s="73" t="s">
        <v>624</v>
      </c>
      <c r="N10" s="73" t="s">
        <v>81</v>
      </c>
      <c r="O10" s="73" t="s">
        <v>625</v>
      </c>
      <c r="P10" s="192" t="s">
        <v>775</v>
      </c>
      <c r="Q10" s="82" t="s">
        <v>621</v>
      </c>
      <c r="R10" s="82" t="s">
        <v>622</v>
      </c>
      <c r="S10" s="82" t="s">
        <v>623</v>
      </c>
      <c r="T10" s="82" t="s">
        <v>624</v>
      </c>
      <c r="U10" s="82" t="s">
        <v>81</v>
      </c>
      <c r="V10" s="82" t="s">
        <v>625</v>
      </c>
      <c r="W10" s="82" t="s">
        <v>82</v>
      </c>
      <c r="X10" s="73" t="s">
        <v>621</v>
      </c>
      <c r="Y10" s="73" t="s">
        <v>622</v>
      </c>
      <c r="Z10" s="73" t="s">
        <v>623</v>
      </c>
      <c r="AA10" s="73" t="s">
        <v>624</v>
      </c>
      <c r="AB10" s="73" t="s">
        <v>81</v>
      </c>
      <c r="AC10" s="73" t="s">
        <v>625</v>
      </c>
      <c r="AD10" s="73" t="s">
        <v>82</v>
      </c>
      <c r="AE10" s="82" t="s">
        <v>621</v>
      </c>
      <c r="AF10" s="82" t="s">
        <v>622</v>
      </c>
      <c r="AG10" s="82" t="s">
        <v>623</v>
      </c>
      <c r="AH10" s="82" t="s">
        <v>624</v>
      </c>
      <c r="AI10" s="82" t="s">
        <v>81</v>
      </c>
      <c r="AJ10" s="82" t="s">
        <v>625</v>
      </c>
      <c r="AK10" s="82" t="s">
        <v>82</v>
      </c>
      <c r="AL10" s="73" t="s">
        <v>621</v>
      </c>
      <c r="AM10" s="73" t="s">
        <v>622</v>
      </c>
      <c r="AN10" s="73" t="s">
        <v>623</v>
      </c>
      <c r="AO10" s="73" t="s">
        <v>624</v>
      </c>
      <c r="AP10" s="73" t="s">
        <v>81</v>
      </c>
      <c r="AQ10" s="73" t="s">
        <v>625</v>
      </c>
      <c r="AR10" s="73" t="s">
        <v>82</v>
      </c>
      <c r="AS10" s="82" t="s">
        <v>1030</v>
      </c>
      <c r="AT10" s="82" t="s">
        <v>622</v>
      </c>
      <c r="AU10" s="82" t="s">
        <v>1031</v>
      </c>
      <c r="AV10" s="82" t="s">
        <v>624</v>
      </c>
      <c r="AW10" s="82" t="s">
        <v>81</v>
      </c>
      <c r="AX10" s="82" t="s">
        <v>625</v>
      </c>
      <c r="AY10" s="82" t="s">
        <v>82</v>
      </c>
      <c r="AZ10" s="57"/>
    </row>
    <row r="11" spans="2:52" ht="15" x14ac:dyDescent="0.25">
      <c r="B11" s="75"/>
      <c r="C11" s="190"/>
      <c r="D11" s="190"/>
      <c r="E11" s="190"/>
      <c r="F11" s="190"/>
      <c r="G11" s="190"/>
      <c r="H11" s="190"/>
      <c r="I11" s="190"/>
      <c r="J11" s="193"/>
      <c r="K11" s="193"/>
      <c r="L11" s="193"/>
      <c r="M11" s="193"/>
      <c r="N11" s="193"/>
      <c r="O11" s="193"/>
      <c r="P11" s="193"/>
      <c r="Q11" s="190"/>
      <c r="R11" s="190"/>
      <c r="S11" s="190"/>
      <c r="T11" s="190"/>
      <c r="U11" s="190"/>
      <c r="V11" s="190"/>
      <c r="W11" s="190"/>
      <c r="X11" s="193"/>
      <c r="Y11" s="193"/>
      <c r="Z11" s="193"/>
      <c r="AA11" s="193"/>
      <c r="AB11" s="193"/>
      <c r="AC11" s="193"/>
      <c r="AD11" s="193"/>
      <c r="AE11" s="190"/>
      <c r="AF11" s="190"/>
      <c r="AG11" s="190"/>
      <c r="AH11" s="190"/>
      <c r="AI11" s="190"/>
      <c r="AJ11" s="190"/>
      <c r="AK11" s="190"/>
      <c r="AL11" s="195"/>
      <c r="AM11" s="195"/>
      <c r="AN11" s="193"/>
      <c r="AO11" s="193"/>
      <c r="AP11" s="193"/>
      <c r="AQ11" s="193"/>
      <c r="AR11" s="193"/>
      <c r="AS11" s="195"/>
      <c r="AT11" s="195"/>
      <c r="AU11" s="190"/>
      <c r="AV11" s="190"/>
      <c r="AW11" s="190"/>
      <c r="AX11" s="190"/>
      <c r="AY11" s="190"/>
      <c r="AZ11" s="57"/>
    </row>
    <row r="12" spans="2:52" x14ac:dyDescent="0.2">
      <c r="B12" s="45" t="s">
        <v>774</v>
      </c>
      <c r="C12" s="154">
        <v>3147</v>
      </c>
      <c r="D12" s="154">
        <f>E12-C12</f>
        <v>2472</v>
      </c>
      <c r="E12" s="154">
        <v>5619</v>
      </c>
      <c r="F12" s="154">
        <f>G12-E12</f>
        <v>2690</v>
      </c>
      <c r="G12" s="154">
        <v>8309</v>
      </c>
      <c r="H12" s="154">
        <f>I12-G12</f>
        <v>3004</v>
      </c>
      <c r="I12" s="154">
        <v>11313</v>
      </c>
      <c r="J12" s="173">
        <v>3026</v>
      </c>
      <c r="K12" s="173">
        <f>L12-J12</f>
        <v>2442</v>
      </c>
      <c r="L12" s="173">
        <v>5468</v>
      </c>
      <c r="M12" s="173">
        <f>N12-L12</f>
        <v>2506</v>
      </c>
      <c r="N12" s="173">
        <v>7974</v>
      </c>
      <c r="O12" s="173">
        <f>P12-N12</f>
        <v>3060</v>
      </c>
      <c r="P12" s="173">
        <v>11034</v>
      </c>
      <c r="Q12" s="154">
        <v>2798</v>
      </c>
      <c r="R12" s="154">
        <f>S12-Q12</f>
        <v>2170</v>
      </c>
      <c r="S12" s="154">
        <v>4968</v>
      </c>
      <c r="T12" s="154">
        <f>U12-S12</f>
        <v>2247</v>
      </c>
      <c r="U12" s="154">
        <v>7215</v>
      </c>
      <c r="V12" s="154">
        <f>W12-U12</f>
        <v>2725</v>
      </c>
      <c r="W12" s="154">
        <v>9940</v>
      </c>
      <c r="X12" s="173">
        <v>2706</v>
      </c>
      <c r="Y12" s="173">
        <f>Z12-X12</f>
        <v>1671</v>
      </c>
      <c r="Z12" s="173">
        <v>4377</v>
      </c>
      <c r="AA12" s="173">
        <f>AB12-Z12</f>
        <v>1976</v>
      </c>
      <c r="AB12" s="173">
        <v>6353</v>
      </c>
      <c r="AC12" s="173">
        <f>AD12-AB12</f>
        <v>2430</v>
      </c>
      <c r="AD12" s="173">
        <v>8783</v>
      </c>
      <c r="AE12" s="154">
        <v>2419</v>
      </c>
      <c r="AF12" s="154">
        <f>AG12-AE12</f>
        <v>2006</v>
      </c>
      <c r="AG12" s="154">
        <v>4425</v>
      </c>
      <c r="AH12" s="154">
        <f>AI12-AG12</f>
        <v>2096</v>
      </c>
      <c r="AI12" s="154">
        <v>6521</v>
      </c>
      <c r="AJ12" s="154">
        <f>AK12-AI12</f>
        <v>2638</v>
      </c>
      <c r="AK12" s="154">
        <v>9159</v>
      </c>
      <c r="AL12" s="195"/>
      <c r="AM12" s="195"/>
      <c r="AN12" s="173">
        <v>4212</v>
      </c>
      <c r="AO12" s="173"/>
      <c r="AP12" s="173"/>
      <c r="AQ12" s="173"/>
      <c r="AR12" s="173">
        <v>8728</v>
      </c>
      <c r="AS12" s="561">
        <v>2511</v>
      </c>
      <c r="AT12" s="561"/>
      <c r="AU12" s="146">
        <v>4307</v>
      </c>
      <c r="AV12" s="146"/>
      <c r="AW12" s="146"/>
      <c r="AX12" s="146"/>
      <c r="AY12" s="146"/>
      <c r="AZ12" s="45"/>
    </row>
    <row r="13" spans="2:52" x14ac:dyDescent="0.2">
      <c r="B13" s="45" t="s">
        <v>62</v>
      </c>
      <c r="C13" s="154">
        <v>31</v>
      </c>
      <c r="D13" s="154">
        <f>E13-C13</f>
        <v>39</v>
      </c>
      <c r="E13" s="154">
        <v>70</v>
      </c>
      <c r="F13" s="154">
        <f>G13-E13</f>
        <v>31</v>
      </c>
      <c r="G13" s="154">
        <v>101</v>
      </c>
      <c r="H13" s="154">
        <f>I13-G13</f>
        <v>703</v>
      </c>
      <c r="I13" s="154">
        <v>804</v>
      </c>
      <c r="J13" s="173">
        <v>20</v>
      </c>
      <c r="K13" s="173">
        <f>L13-J13</f>
        <v>76</v>
      </c>
      <c r="L13" s="173">
        <v>96</v>
      </c>
      <c r="M13" s="173">
        <f>N13-L13</f>
        <v>55</v>
      </c>
      <c r="N13" s="173">
        <v>151</v>
      </c>
      <c r="O13" s="173">
        <f>P13-N13</f>
        <v>81</v>
      </c>
      <c r="P13" s="173">
        <v>232</v>
      </c>
      <c r="Q13" s="154">
        <v>38</v>
      </c>
      <c r="R13" s="154">
        <f>S13-Q13</f>
        <v>27</v>
      </c>
      <c r="S13" s="154">
        <v>65</v>
      </c>
      <c r="T13" s="154">
        <f>U13-S13</f>
        <v>32</v>
      </c>
      <c r="U13" s="154">
        <v>97</v>
      </c>
      <c r="V13" s="154">
        <f>W13-U13</f>
        <v>46</v>
      </c>
      <c r="W13" s="154">
        <v>143</v>
      </c>
      <c r="X13" s="173">
        <v>38</v>
      </c>
      <c r="Y13" s="173">
        <f>Z13-X13</f>
        <v>27</v>
      </c>
      <c r="Z13" s="173">
        <v>65</v>
      </c>
      <c r="AA13" s="173">
        <f>AB13-Z13</f>
        <v>32</v>
      </c>
      <c r="AB13" s="173">
        <v>97</v>
      </c>
      <c r="AC13" s="173">
        <f>AD13-AB13</f>
        <v>46</v>
      </c>
      <c r="AD13" s="173">
        <v>143</v>
      </c>
      <c r="AE13" s="154">
        <v>23</v>
      </c>
      <c r="AF13" s="154">
        <f>AG13-AE13</f>
        <v>34</v>
      </c>
      <c r="AG13" s="154">
        <v>57</v>
      </c>
      <c r="AH13" s="154">
        <f>AI13-AG13</f>
        <v>63</v>
      </c>
      <c r="AI13" s="154">
        <v>120</v>
      </c>
      <c r="AJ13" s="154">
        <f>AK13-AI13</f>
        <v>34</v>
      </c>
      <c r="AK13" s="154">
        <v>154</v>
      </c>
      <c r="AL13" s="195"/>
      <c r="AM13" s="195"/>
      <c r="AN13" s="173">
        <v>44</v>
      </c>
      <c r="AO13" s="173"/>
      <c r="AP13" s="173"/>
      <c r="AQ13" s="173"/>
      <c r="AR13" s="613"/>
      <c r="AS13" s="561">
        <v>26</v>
      </c>
      <c r="AT13" s="561"/>
      <c r="AU13" s="146">
        <v>56</v>
      </c>
      <c r="AV13" s="146"/>
      <c r="AW13" s="146"/>
      <c r="AX13" s="146"/>
      <c r="AY13" s="146"/>
      <c r="AZ13" s="45"/>
    </row>
    <row r="14" spans="2:52" ht="15" thickBot="1" x14ac:dyDescent="0.25">
      <c r="C14" s="154"/>
      <c r="D14" s="154"/>
      <c r="E14" s="154"/>
      <c r="F14" s="154"/>
      <c r="G14" s="154"/>
      <c r="H14" s="154"/>
      <c r="I14" s="154"/>
      <c r="J14" s="173"/>
      <c r="K14" s="173"/>
      <c r="L14" s="173"/>
      <c r="M14" s="173"/>
      <c r="N14" s="173"/>
      <c r="O14" s="173"/>
      <c r="P14" s="173"/>
      <c r="Q14" s="154"/>
      <c r="R14" s="154"/>
      <c r="S14" s="154"/>
      <c r="T14" s="154"/>
      <c r="U14" s="154"/>
      <c r="V14" s="154"/>
      <c r="W14" s="154"/>
      <c r="X14" s="173"/>
      <c r="Y14" s="173"/>
      <c r="Z14" s="173"/>
      <c r="AA14" s="173"/>
      <c r="AB14" s="173"/>
      <c r="AC14" s="173"/>
      <c r="AD14" s="173"/>
      <c r="AE14" s="154"/>
      <c r="AF14" s="154"/>
      <c r="AG14" s="154"/>
      <c r="AH14" s="154"/>
      <c r="AI14" s="154"/>
      <c r="AJ14" s="154"/>
      <c r="AK14" s="154"/>
      <c r="AL14" s="195"/>
      <c r="AM14" s="195"/>
      <c r="AN14" s="173"/>
      <c r="AO14" s="173"/>
      <c r="AP14" s="173"/>
      <c r="AQ14" s="173"/>
      <c r="AR14" s="613"/>
      <c r="AS14" s="561"/>
      <c r="AT14" s="561"/>
      <c r="AU14" s="146"/>
      <c r="AV14" s="146"/>
      <c r="AW14" s="146"/>
      <c r="AX14" s="146"/>
      <c r="AY14" s="146"/>
      <c r="AZ14" s="45"/>
    </row>
    <row r="15" spans="2:52" ht="15" thickBot="1" x14ac:dyDescent="0.25">
      <c r="B15" s="64" t="s">
        <v>63</v>
      </c>
      <c r="C15" s="153">
        <f>SUM(C12:C13)</f>
        <v>3178</v>
      </c>
      <c r="D15" s="153">
        <f t="shared" ref="D15:AS15" si="0">SUM(D12:D13)</f>
        <v>2511</v>
      </c>
      <c r="E15" s="153">
        <f t="shared" si="0"/>
        <v>5689</v>
      </c>
      <c r="F15" s="153">
        <f t="shared" si="0"/>
        <v>2721</v>
      </c>
      <c r="G15" s="153">
        <f t="shared" si="0"/>
        <v>8410</v>
      </c>
      <c r="H15" s="153">
        <f t="shared" si="0"/>
        <v>3707</v>
      </c>
      <c r="I15" s="153">
        <f t="shared" si="0"/>
        <v>12117</v>
      </c>
      <c r="J15" s="175">
        <f t="shared" si="0"/>
        <v>3046</v>
      </c>
      <c r="K15" s="175">
        <f t="shared" si="0"/>
        <v>2518</v>
      </c>
      <c r="L15" s="175">
        <f t="shared" si="0"/>
        <v>5564</v>
      </c>
      <c r="M15" s="175">
        <f t="shared" si="0"/>
        <v>2561</v>
      </c>
      <c r="N15" s="175">
        <f t="shared" si="0"/>
        <v>8125</v>
      </c>
      <c r="O15" s="175">
        <f t="shared" si="0"/>
        <v>3141</v>
      </c>
      <c r="P15" s="175">
        <f t="shared" si="0"/>
        <v>11266</v>
      </c>
      <c r="Q15" s="153">
        <f t="shared" si="0"/>
        <v>2836</v>
      </c>
      <c r="R15" s="153">
        <f t="shared" si="0"/>
        <v>2197</v>
      </c>
      <c r="S15" s="153">
        <f t="shared" si="0"/>
        <v>5033</v>
      </c>
      <c r="T15" s="153">
        <f t="shared" si="0"/>
        <v>2279</v>
      </c>
      <c r="U15" s="153">
        <f t="shared" si="0"/>
        <v>7312</v>
      </c>
      <c r="V15" s="153">
        <f t="shared" si="0"/>
        <v>2771</v>
      </c>
      <c r="W15" s="153">
        <f t="shared" si="0"/>
        <v>10083</v>
      </c>
      <c r="X15" s="175">
        <f t="shared" si="0"/>
        <v>2744</v>
      </c>
      <c r="Y15" s="175">
        <f t="shared" si="0"/>
        <v>1698</v>
      </c>
      <c r="Z15" s="175">
        <f t="shared" si="0"/>
        <v>4442</v>
      </c>
      <c r="AA15" s="175">
        <f t="shared" si="0"/>
        <v>2008</v>
      </c>
      <c r="AB15" s="175">
        <f t="shared" si="0"/>
        <v>6450</v>
      </c>
      <c r="AC15" s="175">
        <f t="shared" si="0"/>
        <v>2476</v>
      </c>
      <c r="AD15" s="175">
        <f t="shared" si="0"/>
        <v>8926</v>
      </c>
      <c r="AE15" s="153">
        <f t="shared" si="0"/>
        <v>2442</v>
      </c>
      <c r="AF15" s="153">
        <f t="shared" si="0"/>
        <v>2040</v>
      </c>
      <c r="AG15" s="153">
        <f t="shared" si="0"/>
        <v>4482</v>
      </c>
      <c r="AH15" s="153">
        <f t="shared" si="0"/>
        <v>2159</v>
      </c>
      <c r="AI15" s="153">
        <f t="shared" si="0"/>
        <v>6641</v>
      </c>
      <c r="AJ15" s="153">
        <f t="shared" si="0"/>
        <v>2672</v>
      </c>
      <c r="AK15" s="153">
        <f t="shared" si="0"/>
        <v>9313</v>
      </c>
      <c r="AL15" s="237"/>
      <c r="AM15" s="237"/>
      <c r="AN15" s="175">
        <f>+AN12+AN13</f>
        <v>4256</v>
      </c>
      <c r="AO15" s="175"/>
      <c r="AP15" s="175"/>
      <c r="AQ15" s="175"/>
      <c r="AR15" s="614"/>
      <c r="AS15" s="237">
        <f t="shared" si="0"/>
        <v>2537</v>
      </c>
      <c r="AT15" s="237"/>
      <c r="AU15" s="120">
        <f>+AU12+AU13</f>
        <v>4363</v>
      </c>
      <c r="AV15" s="120"/>
      <c r="AW15" s="120"/>
      <c r="AX15" s="120"/>
      <c r="AY15" s="120"/>
      <c r="AZ15" s="45"/>
    </row>
    <row r="16" spans="2:52" x14ac:dyDescent="0.2">
      <c r="B16" s="191"/>
      <c r="C16" s="154"/>
      <c r="D16" s="154"/>
      <c r="E16" s="154"/>
      <c r="F16" s="154"/>
      <c r="G16" s="154"/>
      <c r="H16" s="154"/>
      <c r="I16" s="154"/>
      <c r="J16" s="173"/>
      <c r="K16" s="173"/>
      <c r="L16" s="173"/>
      <c r="M16" s="173"/>
      <c r="N16" s="173"/>
      <c r="O16" s="173"/>
      <c r="P16" s="173"/>
      <c r="Q16" s="154"/>
      <c r="R16" s="154"/>
      <c r="S16" s="154"/>
      <c r="T16" s="154"/>
      <c r="U16" s="154"/>
      <c r="V16" s="154"/>
      <c r="W16" s="154"/>
      <c r="X16" s="173"/>
      <c r="Y16" s="173"/>
      <c r="Z16" s="173"/>
      <c r="AA16" s="173"/>
      <c r="AB16" s="173"/>
      <c r="AC16" s="173"/>
      <c r="AD16" s="173"/>
      <c r="AE16" s="154"/>
      <c r="AF16" s="154"/>
      <c r="AG16" s="154"/>
      <c r="AH16" s="154"/>
      <c r="AI16" s="154"/>
      <c r="AJ16" s="154"/>
      <c r="AK16" s="154"/>
      <c r="AL16" s="195"/>
      <c r="AM16" s="195"/>
      <c r="AN16" s="173"/>
      <c r="AO16" s="173"/>
      <c r="AP16" s="173"/>
      <c r="AQ16" s="173"/>
      <c r="AR16" s="613"/>
      <c r="AS16" s="195"/>
      <c r="AT16" s="195"/>
      <c r="AU16" s="146"/>
      <c r="AV16" s="146"/>
      <c r="AW16" s="146"/>
      <c r="AX16" s="146"/>
      <c r="AY16" s="146"/>
      <c r="AZ16" s="45"/>
    </row>
    <row r="17" spans="2:52" x14ac:dyDescent="0.2">
      <c r="B17" s="45" t="s">
        <v>759</v>
      </c>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6">
        <v>-7026</v>
      </c>
      <c r="AE17" s="155">
        <v>-2000</v>
      </c>
      <c r="AF17" s="195"/>
      <c r="AG17" s="195"/>
      <c r="AH17" s="195"/>
      <c r="AI17" s="195"/>
      <c r="AJ17" s="195"/>
      <c r="AK17" s="155">
        <v>-7419</v>
      </c>
      <c r="AL17" s="195"/>
      <c r="AM17" s="195"/>
      <c r="AN17" s="196">
        <v>-3579</v>
      </c>
      <c r="AO17" s="196"/>
      <c r="AP17" s="196"/>
      <c r="AQ17" s="196"/>
      <c r="AR17" s="615"/>
      <c r="AS17" s="195">
        <v>-2010</v>
      </c>
      <c r="AT17" s="195"/>
      <c r="AU17" s="571">
        <v>-3566</v>
      </c>
      <c r="AV17" s="146"/>
      <c r="AW17" s="146"/>
      <c r="AX17" s="146"/>
      <c r="AY17" s="146"/>
      <c r="AZ17" s="45"/>
    </row>
    <row r="18" spans="2:52" x14ac:dyDescent="0.2">
      <c r="B18" s="45" t="s">
        <v>744</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6">
        <v>-572</v>
      </c>
      <c r="AE18" s="155">
        <v>-137</v>
      </c>
      <c r="AF18" s="195"/>
      <c r="AG18" s="195"/>
      <c r="AH18" s="195"/>
      <c r="AI18" s="195"/>
      <c r="AJ18" s="195"/>
      <c r="AK18" s="155">
        <v>-651</v>
      </c>
      <c r="AL18" s="195"/>
      <c r="AM18" s="195"/>
      <c r="AN18" s="196">
        <v>-241</v>
      </c>
      <c r="AO18" s="196"/>
      <c r="AP18" s="196"/>
      <c r="AQ18" s="196"/>
      <c r="AR18" s="615"/>
      <c r="AS18" s="195">
        <v>-152</v>
      </c>
      <c r="AT18" s="195"/>
      <c r="AU18" s="571">
        <v>-259</v>
      </c>
      <c r="AV18" s="146"/>
      <c r="AW18" s="146"/>
      <c r="AX18" s="146"/>
      <c r="AY18" s="146"/>
      <c r="AZ18" s="45"/>
    </row>
    <row r="19" spans="2:52" x14ac:dyDescent="0.2">
      <c r="B19" s="45" t="s">
        <v>760</v>
      </c>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6">
        <v>-61</v>
      </c>
      <c r="AE19" s="155">
        <v>-16</v>
      </c>
      <c r="AF19" s="195"/>
      <c r="AG19" s="195"/>
      <c r="AH19" s="195"/>
      <c r="AI19" s="195"/>
      <c r="AJ19" s="195"/>
      <c r="AK19" s="155">
        <v>-15</v>
      </c>
      <c r="AL19" s="195"/>
      <c r="AM19" s="195"/>
      <c r="AN19" s="196">
        <v>-7</v>
      </c>
      <c r="AO19" s="196"/>
      <c r="AP19" s="196"/>
      <c r="AQ19" s="196"/>
      <c r="AR19" s="615"/>
      <c r="AS19" s="195">
        <v>-17</v>
      </c>
      <c r="AT19" s="195"/>
      <c r="AU19" s="571">
        <v>-14</v>
      </c>
      <c r="AV19" s="146"/>
      <c r="AW19" s="146"/>
      <c r="AX19" s="146"/>
      <c r="AY19" s="146"/>
      <c r="AZ19" s="45"/>
    </row>
    <row r="20" spans="2:52" x14ac:dyDescent="0.2">
      <c r="B20" s="45" t="s">
        <v>745</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6">
        <v>-153</v>
      </c>
      <c r="AE20" s="155">
        <v>-7</v>
      </c>
      <c r="AF20" s="195"/>
      <c r="AG20" s="195"/>
      <c r="AH20" s="195"/>
      <c r="AI20" s="195"/>
      <c r="AJ20" s="195"/>
      <c r="AK20" s="155">
        <v>-98</v>
      </c>
      <c r="AL20" s="195"/>
      <c r="AM20" s="195"/>
      <c r="AN20" s="196">
        <v>-50</v>
      </c>
      <c r="AO20" s="196"/>
      <c r="AP20" s="196"/>
      <c r="AQ20" s="196"/>
      <c r="AR20" s="615"/>
      <c r="AS20" s="195">
        <v>-17</v>
      </c>
      <c r="AT20" s="195"/>
      <c r="AU20" s="571">
        <v>-46</v>
      </c>
      <c r="AV20" s="146"/>
      <c r="AW20" s="146"/>
      <c r="AX20" s="146"/>
      <c r="AY20" s="146"/>
      <c r="AZ20" s="45"/>
    </row>
    <row r="21" spans="2:52" x14ac:dyDescent="0.2">
      <c r="B21" s="45" t="s">
        <v>982</v>
      </c>
      <c r="C21" s="155">
        <v>-3072</v>
      </c>
      <c r="D21" s="155">
        <f>E21-C21</f>
        <v>-2300</v>
      </c>
      <c r="E21" s="155">
        <v>-5372</v>
      </c>
      <c r="F21" s="155">
        <f>G21-E21</f>
        <v>-2596</v>
      </c>
      <c r="G21" s="155">
        <v>-7968</v>
      </c>
      <c r="H21" s="155">
        <f>I21-G21</f>
        <v>-2656</v>
      </c>
      <c r="I21" s="155">
        <v>-10624</v>
      </c>
      <c r="J21" s="196">
        <v>-2820</v>
      </c>
      <c r="K21" s="196">
        <f>L21-J21</f>
        <v>-2269</v>
      </c>
      <c r="L21" s="196">
        <v>-5089</v>
      </c>
      <c r="M21" s="196">
        <f>N21-L21</f>
        <v>-2337</v>
      </c>
      <c r="N21" s="196">
        <v>-7426</v>
      </c>
      <c r="O21" s="196">
        <f>P21-N21</f>
        <v>-2892</v>
      </c>
      <c r="P21" s="196">
        <v>-10318</v>
      </c>
      <c r="Q21" s="155">
        <v>-2528</v>
      </c>
      <c r="R21" s="155">
        <f>S21-Q21</f>
        <v>-1922</v>
      </c>
      <c r="S21" s="155">
        <v>-4450</v>
      </c>
      <c r="T21" s="155">
        <f>U21-S21</f>
        <v>-1987</v>
      </c>
      <c r="U21" s="155">
        <v>-6437</v>
      </c>
      <c r="V21" s="155">
        <f>W21-U21</f>
        <v>-2532</v>
      </c>
      <c r="W21" s="155">
        <v>-8969</v>
      </c>
      <c r="X21" s="196">
        <v>-2436</v>
      </c>
      <c r="Y21" s="196">
        <f>Z21-X21</f>
        <v>-1423</v>
      </c>
      <c r="Z21" s="196">
        <v>-3859</v>
      </c>
      <c r="AA21" s="196">
        <f>AB21-Z21</f>
        <v>-1716</v>
      </c>
      <c r="AB21" s="196">
        <v>-5575</v>
      </c>
      <c r="AC21" s="196">
        <f>SUM(AD17:AD20)-AB21</f>
        <v>-2237</v>
      </c>
      <c r="AD21" s="195"/>
      <c r="AE21" s="195"/>
      <c r="AF21" s="155">
        <f>AG21-SUM(AE17:AE20)</f>
        <v>-1754</v>
      </c>
      <c r="AG21" s="155">
        <v>-3914</v>
      </c>
      <c r="AH21" s="155">
        <f>AI21-AG21</f>
        <v>-1863</v>
      </c>
      <c r="AI21" s="155">
        <v>-5777</v>
      </c>
      <c r="AJ21" s="155">
        <f>SUM(AK17:AK20)-AI21</f>
        <v>-2406</v>
      </c>
      <c r="AK21" s="195"/>
      <c r="AL21" s="195"/>
      <c r="AM21" s="195"/>
      <c r="AN21" s="195"/>
      <c r="AO21" s="195"/>
      <c r="AP21" s="195"/>
      <c r="AQ21" s="195"/>
      <c r="AR21" s="615"/>
      <c r="AS21" s="195"/>
      <c r="AT21" s="195"/>
      <c r="AU21" s="571"/>
      <c r="AV21" s="146"/>
      <c r="AW21" s="146"/>
      <c r="AX21" s="146"/>
      <c r="AY21" s="146"/>
      <c r="AZ21" s="45"/>
    </row>
    <row r="22" spans="2:52" x14ac:dyDescent="0.2">
      <c r="B22" s="45" t="s">
        <v>64</v>
      </c>
      <c r="C22" s="155">
        <v>-55</v>
      </c>
      <c r="D22" s="155">
        <f>E22-C22</f>
        <v>-58</v>
      </c>
      <c r="E22" s="155">
        <v>-113</v>
      </c>
      <c r="F22" s="155">
        <f>G22-E22</f>
        <v>-57</v>
      </c>
      <c r="G22" s="155">
        <v>-170</v>
      </c>
      <c r="H22" s="155">
        <f>I22-G22</f>
        <v>-62</v>
      </c>
      <c r="I22" s="155">
        <v>-232</v>
      </c>
      <c r="J22" s="196">
        <v>-54</v>
      </c>
      <c r="K22" s="196">
        <f>L22-J22</f>
        <v>-81</v>
      </c>
      <c r="L22" s="196">
        <v>-135</v>
      </c>
      <c r="M22" s="196">
        <f>N22-L22</f>
        <v>-75</v>
      </c>
      <c r="N22" s="196">
        <v>-210</v>
      </c>
      <c r="O22" s="196">
        <f>P22-N22</f>
        <v>-85</v>
      </c>
      <c r="P22" s="196">
        <v>-295</v>
      </c>
      <c r="Q22" s="155">
        <v>-79</v>
      </c>
      <c r="R22" s="155">
        <f>S22-Q22</f>
        <v>-78</v>
      </c>
      <c r="S22" s="155">
        <v>-157</v>
      </c>
      <c r="T22" s="155">
        <f>U22-S22</f>
        <v>-71</v>
      </c>
      <c r="U22" s="155">
        <v>-228</v>
      </c>
      <c r="V22" s="155">
        <f>W22-U22</f>
        <v>-83</v>
      </c>
      <c r="W22" s="155">
        <v>-311</v>
      </c>
      <c r="X22" s="196">
        <v>-79</v>
      </c>
      <c r="Y22" s="196">
        <f>Z22-X22</f>
        <v>-78</v>
      </c>
      <c r="Z22" s="196">
        <v>-157</v>
      </c>
      <c r="AA22" s="196">
        <f>AB22-Z22</f>
        <v>-71</v>
      </c>
      <c r="AB22" s="196">
        <v>-228</v>
      </c>
      <c r="AC22" s="196">
        <f>AD22-AB22</f>
        <v>-83</v>
      </c>
      <c r="AD22" s="196">
        <v>-311</v>
      </c>
      <c r="AE22" s="155">
        <v>-81</v>
      </c>
      <c r="AF22" s="155">
        <f>AG22-AE22</f>
        <v>-80</v>
      </c>
      <c r="AG22" s="155">
        <v>-161</v>
      </c>
      <c r="AH22" s="155">
        <f>AI22-AG22</f>
        <v>-83</v>
      </c>
      <c r="AI22" s="155">
        <v>-244</v>
      </c>
      <c r="AJ22" s="155">
        <f>AK22-AI22</f>
        <v>-93</v>
      </c>
      <c r="AK22" s="155">
        <v>-337</v>
      </c>
      <c r="AL22" s="195"/>
      <c r="AM22" s="195"/>
      <c r="AN22" s="196">
        <v>-141</v>
      </c>
      <c r="AO22" s="196"/>
      <c r="AP22" s="196"/>
      <c r="AQ22" s="196"/>
      <c r="AR22" s="615"/>
      <c r="AS22" s="195">
        <v>-86</v>
      </c>
      <c r="AT22" s="195"/>
      <c r="AU22" s="571">
        <v>-150</v>
      </c>
      <c r="AV22" s="146"/>
      <c r="AW22" s="146"/>
      <c r="AX22" s="146"/>
      <c r="AY22" s="146"/>
      <c r="AZ22" s="45"/>
    </row>
    <row r="23" spans="2:52" ht="15" thickBot="1" x14ac:dyDescent="0.25">
      <c r="B23" s="45"/>
      <c r="C23" s="154"/>
      <c r="D23" s="154"/>
      <c r="E23" s="154"/>
      <c r="F23" s="154"/>
      <c r="G23" s="154"/>
      <c r="H23" s="154"/>
      <c r="I23" s="154"/>
      <c r="J23" s="173"/>
      <c r="K23" s="173"/>
      <c r="L23" s="173"/>
      <c r="M23" s="173"/>
      <c r="N23" s="173"/>
      <c r="O23" s="173"/>
      <c r="P23" s="173"/>
      <c r="Q23" s="154"/>
      <c r="R23" s="154"/>
      <c r="S23" s="154"/>
      <c r="T23" s="154"/>
      <c r="U23" s="154"/>
      <c r="V23" s="154"/>
      <c r="W23" s="154"/>
      <c r="X23" s="173"/>
      <c r="Y23" s="173"/>
      <c r="Z23" s="173"/>
      <c r="AA23" s="173"/>
      <c r="AB23" s="173"/>
      <c r="AC23" s="173"/>
      <c r="AD23" s="173"/>
      <c r="AE23" s="154"/>
      <c r="AF23" s="154"/>
      <c r="AG23" s="154"/>
      <c r="AH23" s="154"/>
      <c r="AI23" s="154"/>
      <c r="AJ23" s="154"/>
      <c r="AK23" s="154"/>
      <c r="AL23" s="195"/>
      <c r="AM23" s="195"/>
      <c r="AN23" s="173"/>
      <c r="AO23" s="173"/>
      <c r="AP23" s="173"/>
      <c r="AQ23" s="173"/>
      <c r="AR23" s="613"/>
      <c r="AS23" s="195"/>
      <c r="AT23" s="195"/>
      <c r="AU23" s="146"/>
      <c r="AV23" s="146"/>
      <c r="AW23" s="146"/>
      <c r="AX23" s="146"/>
      <c r="AY23" s="146"/>
      <c r="AZ23" s="45"/>
    </row>
    <row r="24" spans="2:52" ht="15" thickBot="1" x14ac:dyDescent="0.25">
      <c r="B24" s="64" t="s">
        <v>26</v>
      </c>
      <c r="C24" s="153">
        <f>SUM(C15:C22)</f>
        <v>51</v>
      </c>
      <c r="D24" s="153">
        <f t="shared" ref="D24:AS24" si="1">SUM(D15:D22)</f>
        <v>153</v>
      </c>
      <c r="E24" s="153">
        <f t="shared" si="1"/>
        <v>204</v>
      </c>
      <c r="F24" s="153">
        <f t="shared" si="1"/>
        <v>68</v>
      </c>
      <c r="G24" s="153">
        <f t="shared" si="1"/>
        <v>272</v>
      </c>
      <c r="H24" s="153">
        <f t="shared" si="1"/>
        <v>989</v>
      </c>
      <c r="I24" s="153">
        <f t="shared" si="1"/>
        <v>1261</v>
      </c>
      <c r="J24" s="175">
        <f t="shared" si="1"/>
        <v>172</v>
      </c>
      <c r="K24" s="175">
        <f t="shared" si="1"/>
        <v>168</v>
      </c>
      <c r="L24" s="175">
        <f t="shared" si="1"/>
        <v>340</v>
      </c>
      <c r="M24" s="175">
        <f t="shared" si="1"/>
        <v>149</v>
      </c>
      <c r="N24" s="175">
        <f t="shared" si="1"/>
        <v>489</v>
      </c>
      <c r="O24" s="175">
        <f t="shared" si="1"/>
        <v>164</v>
      </c>
      <c r="P24" s="175">
        <f t="shared" si="1"/>
        <v>653</v>
      </c>
      <c r="Q24" s="153">
        <f t="shared" si="1"/>
        <v>229</v>
      </c>
      <c r="R24" s="153">
        <f t="shared" si="1"/>
        <v>197</v>
      </c>
      <c r="S24" s="153">
        <f t="shared" si="1"/>
        <v>426</v>
      </c>
      <c r="T24" s="153">
        <f t="shared" si="1"/>
        <v>221</v>
      </c>
      <c r="U24" s="153">
        <f t="shared" si="1"/>
        <v>647</v>
      </c>
      <c r="V24" s="153">
        <f t="shared" si="1"/>
        <v>156</v>
      </c>
      <c r="W24" s="153">
        <f t="shared" si="1"/>
        <v>803</v>
      </c>
      <c r="X24" s="175">
        <f t="shared" si="1"/>
        <v>229</v>
      </c>
      <c r="Y24" s="175">
        <f t="shared" si="1"/>
        <v>197</v>
      </c>
      <c r="Z24" s="175">
        <f t="shared" si="1"/>
        <v>426</v>
      </c>
      <c r="AA24" s="175">
        <f t="shared" si="1"/>
        <v>221</v>
      </c>
      <c r="AB24" s="175">
        <f t="shared" si="1"/>
        <v>647</v>
      </c>
      <c r="AC24" s="175">
        <f t="shared" si="1"/>
        <v>156</v>
      </c>
      <c r="AD24" s="175">
        <f>SUM(AD15:AD22)</f>
        <v>803</v>
      </c>
      <c r="AE24" s="153">
        <f t="shared" si="1"/>
        <v>201</v>
      </c>
      <c r="AF24" s="153">
        <f>SUM(AF15:AF22)</f>
        <v>206</v>
      </c>
      <c r="AG24" s="153">
        <f t="shared" si="1"/>
        <v>407</v>
      </c>
      <c r="AH24" s="153">
        <f t="shared" si="1"/>
        <v>213</v>
      </c>
      <c r="AI24" s="153">
        <f t="shared" si="1"/>
        <v>620</v>
      </c>
      <c r="AJ24" s="153">
        <f t="shared" si="1"/>
        <v>173</v>
      </c>
      <c r="AK24" s="153">
        <f t="shared" si="1"/>
        <v>793</v>
      </c>
      <c r="AL24" s="237"/>
      <c r="AM24" s="237"/>
      <c r="AN24" s="175">
        <f>+AN15+SUM(AN17:AN22)</f>
        <v>238</v>
      </c>
      <c r="AO24" s="175"/>
      <c r="AP24" s="175"/>
      <c r="AQ24" s="175"/>
      <c r="AR24" s="175">
        <v>426</v>
      </c>
      <c r="AS24" s="237">
        <f t="shared" si="1"/>
        <v>255</v>
      </c>
      <c r="AT24" s="237"/>
      <c r="AU24" s="120">
        <f>+AU15+SUM(AU17:AU22)</f>
        <v>328</v>
      </c>
      <c r="AV24" s="555"/>
      <c r="AW24" s="555"/>
      <c r="AX24" s="555"/>
      <c r="AY24" s="555"/>
      <c r="AZ24" s="45"/>
    </row>
    <row r="25" spans="2:52" x14ac:dyDescent="0.2">
      <c r="B25" s="191"/>
      <c r="C25" s="154"/>
      <c r="D25" s="154"/>
      <c r="E25" s="154"/>
      <c r="F25" s="154"/>
      <c r="G25" s="154"/>
      <c r="H25" s="154"/>
      <c r="I25" s="154"/>
      <c r="J25" s="173"/>
      <c r="K25" s="173"/>
      <c r="L25" s="173"/>
      <c r="M25" s="173"/>
      <c r="N25" s="173"/>
      <c r="O25" s="173"/>
      <c r="P25" s="173"/>
      <c r="Q25" s="154"/>
      <c r="R25" s="154"/>
      <c r="S25" s="154"/>
      <c r="T25" s="154"/>
      <c r="U25" s="154"/>
      <c r="V25" s="154"/>
      <c r="W25" s="154"/>
      <c r="X25" s="173"/>
      <c r="Y25" s="173"/>
      <c r="Z25" s="173"/>
      <c r="AA25" s="173"/>
      <c r="AB25" s="173"/>
      <c r="AC25" s="173"/>
      <c r="AD25" s="173"/>
      <c r="AE25" s="154"/>
      <c r="AF25" s="154"/>
      <c r="AG25" s="154"/>
      <c r="AH25" s="154"/>
      <c r="AI25" s="154"/>
      <c r="AJ25" s="154"/>
      <c r="AK25" s="154"/>
      <c r="AL25" s="195"/>
      <c r="AM25" s="195"/>
      <c r="AN25" s="173"/>
      <c r="AO25" s="173"/>
      <c r="AP25" s="173"/>
      <c r="AQ25" s="173"/>
      <c r="AR25" s="613"/>
      <c r="AS25" s="195"/>
      <c r="AT25" s="195"/>
      <c r="AU25" s="146"/>
      <c r="AV25" s="146"/>
      <c r="AW25" s="146"/>
      <c r="AX25" s="146"/>
      <c r="AY25" s="146"/>
      <c r="AZ25" s="45"/>
    </row>
    <row r="26" spans="2:52" x14ac:dyDescent="0.2">
      <c r="B26" s="45" t="s">
        <v>27</v>
      </c>
      <c r="C26" s="155">
        <v>-13</v>
      </c>
      <c r="D26" s="155">
        <f>E26-C26</f>
        <v>-35</v>
      </c>
      <c r="E26" s="155">
        <v>-48</v>
      </c>
      <c r="F26" s="155">
        <f>G26-E26</f>
        <v>91</v>
      </c>
      <c r="G26" s="155">
        <v>43</v>
      </c>
      <c r="H26" s="155">
        <f>I26-G26</f>
        <v>118</v>
      </c>
      <c r="I26" s="155">
        <v>161</v>
      </c>
      <c r="J26" s="196">
        <v>-92</v>
      </c>
      <c r="K26" s="196">
        <f>L26-J26</f>
        <v>15</v>
      </c>
      <c r="L26" s="196">
        <v>-77</v>
      </c>
      <c r="M26" s="196">
        <f>N26-L26</f>
        <v>-56</v>
      </c>
      <c r="N26" s="196">
        <v>-133</v>
      </c>
      <c r="O26" s="196">
        <f>P26-N26</f>
        <v>-33</v>
      </c>
      <c r="P26" s="196">
        <v>-166</v>
      </c>
      <c r="Q26" s="155">
        <v>-98</v>
      </c>
      <c r="R26" s="155">
        <f>S26-Q26</f>
        <v>-63</v>
      </c>
      <c r="S26" s="155">
        <v>-161</v>
      </c>
      <c r="T26" s="155">
        <f>U26-S26</f>
        <v>-35</v>
      </c>
      <c r="U26" s="155">
        <v>-196</v>
      </c>
      <c r="V26" s="155">
        <f>W26-U26</f>
        <v>-25</v>
      </c>
      <c r="W26" s="155">
        <v>-221</v>
      </c>
      <c r="X26" s="196">
        <v>-98</v>
      </c>
      <c r="Y26" s="196">
        <f>Z26-X26</f>
        <v>-63</v>
      </c>
      <c r="Z26" s="196">
        <v>-161</v>
      </c>
      <c r="AA26" s="196">
        <f>AB26-Z26</f>
        <v>-35</v>
      </c>
      <c r="AB26" s="196">
        <v>-196</v>
      </c>
      <c r="AC26" s="196">
        <f>AD26-AB26</f>
        <v>-25</v>
      </c>
      <c r="AD26" s="196">
        <v>-221</v>
      </c>
      <c r="AE26" s="155">
        <v>2</v>
      </c>
      <c r="AF26" s="155">
        <f>AG26-AE26</f>
        <v>-2</v>
      </c>
      <c r="AG26" s="154">
        <v>0</v>
      </c>
      <c r="AH26" s="155">
        <f>AI26-AG26</f>
        <v>6</v>
      </c>
      <c r="AI26" s="155">
        <v>6</v>
      </c>
      <c r="AJ26" s="155">
        <f>AK26-AI26</f>
        <v>-13</v>
      </c>
      <c r="AK26" s="155">
        <v>-7</v>
      </c>
      <c r="AL26" s="195"/>
      <c r="AM26" s="195"/>
      <c r="AN26" s="196">
        <v>0</v>
      </c>
      <c r="AO26" s="196"/>
      <c r="AP26" s="196"/>
      <c r="AQ26" s="196"/>
      <c r="AR26" s="615"/>
      <c r="AS26" s="561">
        <v>10</v>
      </c>
      <c r="AT26" s="195"/>
      <c r="AU26" s="146">
        <v>8</v>
      </c>
      <c r="AV26" s="146"/>
      <c r="AW26" s="146"/>
      <c r="AX26" s="146"/>
      <c r="AY26" s="146"/>
      <c r="AZ26" s="45"/>
    </row>
    <row r="27" spans="2:52" x14ac:dyDescent="0.2">
      <c r="B27" s="45" t="s">
        <v>42</v>
      </c>
      <c r="C27" s="155">
        <v>-150</v>
      </c>
      <c r="D27" s="155">
        <f>E27-C27</f>
        <v>-139</v>
      </c>
      <c r="E27" s="155">
        <v>-289</v>
      </c>
      <c r="F27" s="155">
        <f>G27-E27</f>
        <v>-150</v>
      </c>
      <c r="G27" s="155">
        <v>-439</v>
      </c>
      <c r="H27" s="155">
        <f>I27-G27</f>
        <v>-221</v>
      </c>
      <c r="I27" s="155">
        <v>-660</v>
      </c>
      <c r="J27" s="196">
        <v>-114</v>
      </c>
      <c r="K27" s="196">
        <f>L27-J27</f>
        <v>-127</v>
      </c>
      <c r="L27" s="196">
        <v>-241</v>
      </c>
      <c r="M27" s="196">
        <f>N27-L27</f>
        <v>-119</v>
      </c>
      <c r="N27" s="196">
        <v>-360</v>
      </c>
      <c r="O27" s="196">
        <f>P27-N27</f>
        <v>-118</v>
      </c>
      <c r="P27" s="196">
        <v>-478</v>
      </c>
      <c r="Q27" s="155">
        <v>-122</v>
      </c>
      <c r="R27" s="155">
        <f>S27-Q27</f>
        <v>-118</v>
      </c>
      <c r="S27" s="155">
        <v>-240</v>
      </c>
      <c r="T27" s="155">
        <f>U27-S27</f>
        <v>-121</v>
      </c>
      <c r="U27" s="155">
        <v>-361</v>
      </c>
      <c r="V27" s="155">
        <f>W27-U27</f>
        <v>-125</v>
      </c>
      <c r="W27" s="155">
        <v>-486</v>
      </c>
      <c r="X27" s="196">
        <v>-122</v>
      </c>
      <c r="Y27" s="196">
        <f>Z27-X27</f>
        <v>-118</v>
      </c>
      <c r="Z27" s="196">
        <v>-240</v>
      </c>
      <c r="AA27" s="196">
        <f>AB27-Z27</f>
        <v>-121</v>
      </c>
      <c r="AB27" s="196">
        <v>-361</v>
      </c>
      <c r="AC27" s="196">
        <f>AD27-AB27</f>
        <v>-125</v>
      </c>
      <c r="AD27" s="196">
        <v>-486</v>
      </c>
      <c r="AE27" s="155">
        <v>-104</v>
      </c>
      <c r="AF27" s="155">
        <f>AG27-AE27</f>
        <v>-107</v>
      </c>
      <c r="AG27" s="155">
        <v>-211</v>
      </c>
      <c r="AH27" s="155">
        <f>AI27-AG27</f>
        <v>-115</v>
      </c>
      <c r="AI27" s="155">
        <v>-326</v>
      </c>
      <c r="AJ27" s="155">
        <f>AK27-AI27</f>
        <v>-138</v>
      </c>
      <c r="AK27" s="155">
        <v>-464</v>
      </c>
      <c r="AL27" s="195"/>
      <c r="AM27" s="195"/>
      <c r="AN27" s="196">
        <f>-125-2</f>
        <v>-127</v>
      </c>
      <c r="AO27" s="196"/>
      <c r="AP27" s="196"/>
      <c r="AQ27" s="196"/>
      <c r="AR27" s="615"/>
      <c r="AS27" s="195">
        <v>-112</v>
      </c>
      <c r="AT27" s="195"/>
      <c r="AU27" s="571">
        <v>-154</v>
      </c>
      <c r="AV27" s="146"/>
      <c r="AW27" s="146"/>
      <c r="AX27" s="146"/>
      <c r="AY27" s="146"/>
      <c r="AZ27" s="45"/>
    </row>
    <row r="28" spans="2:52" x14ac:dyDescent="0.2">
      <c r="B28" s="45" t="s">
        <v>29</v>
      </c>
      <c r="C28" s="155">
        <v>-41</v>
      </c>
      <c r="D28" s="155">
        <f>E28-C28</f>
        <v>-28</v>
      </c>
      <c r="E28" s="155">
        <v>-69</v>
      </c>
      <c r="F28" s="155">
        <f>G28-E28</f>
        <v>-37</v>
      </c>
      <c r="G28" s="155">
        <v>-106</v>
      </c>
      <c r="H28" s="155">
        <f>I28-G28</f>
        <v>-33</v>
      </c>
      <c r="I28" s="155">
        <v>-139</v>
      </c>
      <c r="J28" s="196">
        <v>-25</v>
      </c>
      <c r="K28" s="196">
        <f>L28-J28</f>
        <v>-16</v>
      </c>
      <c r="L28" s="196">
        <v>-41</v>
      </c>
      <c r="M28" s="196">
        <f>N28-L28</f>
        <v>-16</v>
      </c>
      <c r="N28" s="196">
        <v>-57</v>
      </c>
      <c r="O28" s="196">
        <f>P28-N28</f>
        <v>-11</v>
      </c>
      <c r="P28" s="196">
        <v>-68</v>
      </c>
      <c r="Q28" s="155">
        <v>-30</v>
      </c>
      <c r="R28" s="155">
        <f>S28-Q28</f>
        <v>-12</v>
      </c>
      <c r="S28" s="155">
        <v>-42</v>
      </c>
      <c r="T28" s="155">
        <f>U28-S28</f>
        <v>-18</v>
      </c>
      <c r="U28" s="155">
        <v>-60</v>
      </c>
      <c r="V28" s="155">
        <f>W28-U28</f>
        <v>-20</v>
      </c>
      <c r="W28" s="155">
        <v>-80</v>
      </c>
      <c r="X28" s="196">
        <v>-30</v>
      </c>
      <c r="Y28" s="196">
        <f>Z28-X28</f>
        <v>-12</v>
      </c>
      <c r="Z28" s="196">
        <v>-42</v>
      </c>
      <c r="AA28" s="196">
        <f>AB28-Z28</f>
        <v>-18</v>
      </c>
      <c r="AB28" s="196">
        <v>-60</v>
      </c>
      <c r="AC28" s="196">
        <f>AD28-AB28</f>
        <v>-20</v>
      </c>
      <c r="AD28" s="196">
        <v>-80</v>
      </c>
      <c r="AE28" s="155">
        <v>-3</v>
      </c>
      <c r="AF28" s="155">
        <f>AG28-AE28</f>
        <v>-8</v>
      </c>
      <c r="AG28" s="155">
        <v>-11</v>
      </c>
      <c r="AH28" s="155">
        <f>AI28-AG28</f>
        <v>-5</v>
      </c>
      <c r="AI28" s="155">
        <v>-16</v>
      </c>
      <c r="AJ28" s="155">
        <f>AK28-AI28</f>
        <v>-13</v>
      </c>
      <c r="AK28" s="155">
        <v>-29</v>
      </c>
      <c r="AL28" s="195"/>
      <c r="AM28" s="195"/>
      <c r="AN28" s="196">
        <v>-2</v>
      </c>
      <c r="AO28" s="196"/>
      <c r="AP28" s="196"/>
      <c r="AQ28" s="196"/>
      <c r="AR28" s="615"/>
      <c r="AS28" s="195">
        <v>-4</v>
      </c>
      <c r="AT28" s="195"/>
      <c r="AU28" s="146"/>
      <c r="AV28" s="146"/>
      <c r="AW28" s="146"/>
      <c r="AX28" s="146"/>
      <c r="AY28" s="146"/>
      <c r="AZ28" s="45"/>
    </row>
    <row r="29" spans="2:52" x14ac:dyDescent="0.2">
      <c r="B29" s="45" t="s">
        <v>847</v>
      </c>
      <c r="C29" s="154">
        <v>0</v>
      </c>
      <c r="D29" s="155">
        <f>E29-C29</f>
        <v>-11</v>
      </c>
      <c r="E29" s="155">
        <v>-11</v>
      </c>
      <c r="F29" s="154">
        <f>G29-E29</f>
        <v>0</v>
      </c>
      <c r="G29" s="155">
        <v>-11</v>
      </c>
      <c r="H29" s="155">
        <f>I29-G29</f>
        <v>-1523</v>
      </c>
      <c r="I29" s="155">
        <v>-1534</v>
      </c>
      <c r="J29" s="173">
        <v>0</v>
      </c>
      <c r="K29" s="173">
        <f>L29-J29</f>
        <v>0</v>
      </c>
      <c r="L29" s="173">
        <v>0</v>
      </c>
      <c r="M29" s="173">
        <f>N29-L29</f>
        <v>0</v>
      </c>
      <c r="N29" s="196">
        <v>0</v>
      </c>
      <c r="O29" s="196">
        <f>P29-N29</f>
        <v>-256</v>
      </c>
      <c r="P29" s="196">
        <v>-256</v>
      </c>
      <c r="Q29" s="154"/>
      <c r="R29" s="154">
        <f>S29-Q29</f>
        <v>0</v>
      </c>
      <c r="S29" s="154">
        <v>0</v>
      </c>
      <c r="T29" s="154">
        <f>U29-S29</f>
        <v>0</v>
      </c>
      <c r="U29" s="154">
        <v>0</v>
      </c>
      <c r="V29" s="155">
        <f>W29-U29</f>
        <v>-169</v>
      </c>
      <c r="W29" s="155">
        <v>-169</v>
      </c>
      <c r="X29" s="173">
        <v>0</v>
      </c>
      <c r="Y29" s="173">
        <f>Z29-X29</f>
        <v>0</v>
      </c>
      <c r="Z29" s="173">
        <v>0</v>
      </c>
      <c r="AA29" s="173">
        <f>AB29-Z29</f>
        <v>0</v>
      </c>
      <c r="AB29" s="173">
        <v>0</v>
      </c>
      <c r="AC29" s="196">
        <f>AD29-AB29</f>
        <v>-169</v>
      </c>
      <c r="AD29" s="196">
        <v>-169</v>
      </c>
      <c r="AE29" s="155">
        <v>-2</v>
      </c>
      <c r="AF29" s="155">
        <f>AG29-AE29</f>
        <v>-21</v>
      </c>
      <c r="AG29" s="155">
        <v>-23</v>
      </c>
      <c r="AH29" s="155">
        <f>AI29-AG29</f>
        <v>-27</v>
      </c>
      <c r="AI29" s="155">
        <v>-50</v>
      </c>
      <c r="AJ29" s="155">
        <f>AK29-AI29</f>
        <v>-50</v>
      </c>
      <c r="AK29" s="155">
        <v>-100</v>
      </c>
      <c r="AL29" s="195"/>
      <c r="AM29" s="195"/>
      <c r="AN29" s="196"/>
      <c r="AO29" s="196"/>
      <c r="AP29" s="196"/>
      <c r="AQ29" s="196"/>
      <c r="AR29" s="615"/>
      <c r="AS29" s="195">
        <v>0</v>
      </c>
      <c r="AT29" s="195"/>
      <c r="AU29" s="146"/>
      <c r="AV29" s="146"/>
      <c r="AW29" s="146"/>
      <c r="AX29" s="146"/>
      <c r="AY29" s="146"/>
      <c r="AZ29" s="45"/>
    </row>
    <row r="30" spans="2:52" x14ac:dyDescent="0.2">
      <c r="B30" s="45" t="s">
        <v>43</v>
      </c>
      <c r="C30" s="155">
        <v>-7</v>
      </c>
      <c r="D30" s="155">
        <f>E30-C30</f>
        <v>-4</v>
      </c>
      <c r="E30" s="155">
        <v>-11</v>
      </c>
      <c r="F30" s="155">
        <f>G30-E30</f>
        <v>-11</v>
      </c>
      <c r="G30" s="155">
        <v>-22</v>
      </c>
      <c r="H30" s="155">
        <f>I30-G30</f>
        <v>-1</v>
      </c>
      <c r="I30" s="155">
        <v>-23</v>
      </c>
      <c r="J30" s="173">
        <v>0</v>
      </c>
      <c r="K30" s="196">
        <f>L30-J30</f>
        <v>-1</v>
      </c>
      <c r="L30" s="196">
        <v>-1</v>
      </c>
      <c r="M30" s="196">
        <f>N30-L30</f>
        <v>-5</v>
      </c>
      <c r="N30" s="196">
        <v>-6</v>
      </c>
      <c r="O30" s="196">
        <f>P30-N30</f>
        <v>-7</v>
      </c>
      <c r="P30" s="196">
        <v>-13</v>
      </c>
      <c r="Q30" s="155">
        <v>-1</v>
      </c>
      <c r="R30" s="155">
        <f>S30-Q30</f>
        <v>-5</v>
      </c>
      <c r="S30" s="155">
        <v>-6</v>
      </c>
      <c r="T30" s="154">
        <f>U30-S30</f>
        <v>0</v>
      </c>
      <c r="U30" s="155">
        <v>-6</v>
      </c>
      <c r="V30" s="155">
        <f>W30-U30</f>
        <v>121</v>
      </c>
      <c r="W30" s="155">
        <v>115</v>
      </c>
      <c r="X30" s="196">
        <v>-1</v>
      </c>
      <c r="Y30" s="196">
        <f>Z30-X30</f>
        <v>-5</v>
      </c>
      <c r="Z30" s="196">
        <v>-6</v>
      </c>
      <c r="AA30" s="173">
        <f>AB30-Z30</f>
        <v>0</v>
      </c>
      <c r="AB30" s="196">
        <v>-6</v>
      </c>
      <c r="AC30" s="196">
        <f>AD30-AB30</f>
        <v>121</v>
      </c>
      <c r="AD30" s="196">
        <v>115</v>
      </c>
      <c r="AE30" s="155">
        <v>-2</v>
      </c>
      <c r="AF30" s="155">
        <f>AG30-AE30</f>
        <v>-11</v>
      </c>
      <c r="AG30" s="155">
        <v>-13</v>
      </c>
      <c r="AH30" s="155">
        <f>AI30-AG30</f>
        <v>-2</v>
      </c>
      <c r="AI30" s="155">
        <v>-15</v>
      </c>
      <c r="AJ30" s="155">
        <f>AK30-AI30</f>
        <v>-8</v>
      </c>
      <c r="AK30" s="155">
        <v>-23</v>
      </c>
      <c r="AL30" s="195"/>
      <c r="AM30" s="195"/>
      <c r="AN30" s="196">
        <v>-13</v>
      </c>
      <c r="AO30" s="196"/>
      <c r="AP30" s="196"/>
      <c r="AQ30" s="196"/>
      <c r="AR30" s="615"/>
      <c r="AS30" s="195">
        <v>-3</v>
      </c>
      <c r="AT30" s="195"/>
      <c r="AU30" s="571">
        <v>-15</v>
      </c>
      <c r="AV30" s="146"/>
      <c r="AW30" s="146"/>
      <c r="AX30" s="146"/>
      <c r="AY30" s="146"/>
      <c r="AZ30" s="45"/>
    </row>
    <row r="31" spans="2:52" ht="15" thickBot="1" x14ac:dyDescent="0.25">
      <c r="B31" s="45"/>
      <c r="C31" s="154"/>
      <c r="D31" s="154"/>
      <c r="E31" s="154"/>
      <c r="F31" s="154"/>
      <c r="G31" s="154"/>
      <c r="H31" s="154"/>
      <c r="I31" s="154"/>
      <c r="J31" s="173"/>
      <c r="K31" s="173"/>
      <c r="L31" s="173"/>
      <c r="M31" s="173"/>
      <c r="N31" s="173"/>
      <c r="O31" s="173"/>
      <c r="P31" s="173"/>
      <c r="Q31" s="154"/>
      <c r="R31" s="154"/>
      <c r="S31" s="154"/>
      <c r="T31" s="154"/>
      <c r="U31" s="154"/>
      <c r="V31" s="154"/>
      <c r="W31" s="154"/>
      <c r="X31" s="173"/>
      <c r="Y31" s="173"/>
      <c r="Z31" s="173"/>
      <c r="AA31" s="173"/>
      <c r="AB31" s="173"/>
      <c r="AC31" s="173"/>
      <c r="AD31" s="173"/>
      <c r="AE31" s="154"/>
      <c r="AF31" s="154"/>
      <c r="AG31" s="154"/>
      <c r="AH31" s="154"/>
      <c r="AI31" s="154"/>
      <c r="AJ31" s="154"/>
      <c r="AK31" s="154"/>
      <c r="AL31" s="195"/>
      <c r="AM31" s="195"/>
      <c r="AN31" s="173"/>
      <c r="AO31" s="173"/>
      <c r="AP31" s="173"/>
      <c r="AQ31" s="173"/>
      <c r="AR31" s="613"/>
      <c r="AS31" s="195"/>
      <c r="AT31" s="195"/>
      <c r="AU31" s="146"/>
      <c r="AV31" s="146"/>
      <c r="AW31" s="146"/>
      <c r="AX31" s="146"/>
      <c r="AY31" s="146"/>
      <c r="AZ31" s="45"/>
    </row>
    <row r="32" spans="2:52" ht="15" thickBot="1" x14ac:dyDescent="0.25">
      <c r="B32" s="64" t="s">
        <v>65</v>
      </c>
      <c r="C32" s="156">
        <f>SUM(C24:C27,C29:C30)</f>
        <v>-119</v>
      </c>
      <c r="D32" s="156">
        <f t="shared" ref="D32:AS32" si="2">SUM(D24:D27,D29:D30)</f>
        <v>-36</v>
      </c>
      <c r="E32" s="156">
        <f t="shared" si="2"/>
        <v>-155</v>
      </c>
      <c r="F32" s="156">
        <f t="shared" si="2"/>
        <v>-2</v>
      </c>
      <c r="G32" s="156">
        <f t="shared" si="2"/>
        <v>-157</v>
      </c>
      <c r="H32" s="156">
        <f t="shared" si="2"/>
        <v>-638</v>
      </c>
      <c r="I32" s="156">
        <f t="shared" si="2"/>
        <v>-795</v>
      </c>
      <c r="J32" s="197">
        <f t="shared" si="2"/>
        <v>-34</v>
      </c>
      <c r="K32" s="175">
        <f t="shared" si="2"/>
        <v>55</v>
      </c>
      <c r="L32" s="175">
        <f t="shared" si="2"/>
        <v>21</v>
      </c>
      <c r="M32" s="197">
        <f t="shared" si="2"/>
        <v>-31</v>
      </c>
      <c r="N32" s="197">
        <f t="shared" si="2"/>
        <v>-10</v>
      </c>
      <c r="O32" s="197">
        <f t="shared" si="2"/>
        <v>-250</v>
      </c>
      <c r="P32" s="197">
        <f t="shared" si="2"/>
        <v>-260</v>
      </c>
      <c r="Q32" s="153">
        <f t="shared" si="2"/>
        <v>8</v>
      </c>
      <c r="R32" s="153">
        <f t="shared" si="2"/>
        <v>11</v>
      </c>
      <c r="S32" s="153">
        <f t="shared" si="2"/>
        <v>19</v>
      </c>
      <c r="T32" s="153">
        <f t="shared" si="2"/>
        <v>65</v>
      </c>
      <c r="U32" s="153">
        <f t="shared" si="2"/>
        <v>84</v>
      </c>
      <c r="V32" s="156">
        <f t="shared" si="2"/>
        <v>-42</v>
      </c>
      <c r="W32" s="153">
        <f t="shared" si="2"/>
        <v>42</v>
      </c>
      <c r="X32" s="197">
        <f t="shared" si="2"/>
        <v>8</v>
      </c>
      <c r="Y32" s="175">
        <f t="shared" si="2"/>
        <v>11</v>
      </c>
      <c r="Z32" s="175">
        <f t="shared" si="2"/>
        <v>19</v>
      </c>
      <c r="AA32" s="175">
        <f t="shared" si="2"/>
        <v>65</v>
      </c>
      <c r="AB32" s="175">
        <f t="shared" si="2"/>
        <v>84</v>
      </c>
      <c r="AC32" s="197">
        <f t="shared" si="2"/>
        <v>-42</v>
      </c>
      <c r="AD32" s="175">
        <f t="shared" si="2"/>
        <v>42</v>
      </c>
      <c r="AE32" s="153">
        <f t="shared" si="2"/>
        <v>95</v>
      </c>
      <c r="AF32" s="153">
        <f t="shared" si="2"/>
        <v>65</v>
      </c>
      <c r="AG32" s="153">
        <f t="shared" si="2"/>
        <v>160</v>
      </c>
      <c r="AH32" s="153">
        <f t="shared" si="2"/>
        <v>75</v>
      </c>
      <c r="AI32" s="153">
        <f t="shared" si="2"/>
        <v>235</v>
      </c>
      <c r="AJ32" s="156">
        <f t="shared" si="2"/>
        <v>-36</v>
      </c>
      <c r="AK32" s="153">
        <f t="shared" si="2"/>
        <v>199</v>
      </c>
      <c r="AL32" s="237"/>
      <c r="AM32" s="237"/>
      <c r="AN32" s="175">
        <f>+AN24+AN26+AN27+AN29+AN30</f>
        <v>98</v>
      </c>
      <c r="AO32" s="175"/>
      <c r="AP32" s="175"/>
      <c r="AQ32" s="175"/>
      <c r="AR32" s="175">
        <v>126</v>
      </c>
      <c r="AS32" s="237">
        <f t="shared" si="2"/>
        <v>150</v>
      </c>
      <c r="AT32" s="237"/>
      <c r="AU32" s="120">
        <f>+AU24+SUM(AU26:AU30)</f>
        <v>167</v>
      </c>
      <c r="AV32" s="555"/>
      <c r="AW32" s="555"/>
      <c r="AX32" s="555"/>
      <c r="AY32" s="555"/>
      <c r="AZ32" s="45"/>
    </row>
    <row r="33" spans="2:52" x14ac:dyDescent="0.2">
      <c r="B33" s="191"/>
      <c r="C33" s="154"/>
      <c r="D33" s="154"/>
      <c r="E33" s="154"/>
      <c r="F33" s="154"/>
      <c r="G33" s="154"/>
      <c r="H33" s="154"/>
      <c r="I33" s="154"/>
      <c r="J33" s="173"/>
      <c r="K33" s="173"/>
      <c r="L33" s="173"/>
      <c r="M33" s="173"/>
      <c r="N33" s="173"/>
      <c r="O33" s="173"/>
      <c r="P33" s="173"/>
      <c r="Q33" s="154"/>
      <c r="R33" s="154"/>
      <c r="S33" s="154"/>
      <c r="T33" s="154"/>
      <c r="U33" s="154"/>
      <c r="V33" s="154"/>
      <c r="W33" s="154"/>
      <c r="X33" s="173"/>
      <c r="Y33" s="173"/>
      <c r="Z33" s="173"/>
      <c r="AA33" s="173"/>
      <c r="AB33" s="173"/>
      <c r="AC33" s="173"/>
      <c r="AD33" s="173"/>
      <c r="AE33" s="154"/>
      <c r="AF33" s="154"/>
      <c r="AG33" s="154"/>
      <c r="AH33" s="154"/>
      <c r="AI33" s="154"/>
      <c r="AJ33" s="154"/>
      <c r="AK33" s="154"/>
      <c r="AL33" s="195"/>
      <c r="AM33" s="195"/>
      <c r="AN33" s="173"/>
      <c r="AO33" s="173"/>
      <c r="AP33" s="173"/>
      <c r="AQ33" s="173"/>
      <c r="AR33" s="613"/>
      <c r="AS33" s="195"/>
      <c r="AT33" s="195"/>
      <c r="AU33" s="146"/>
      <c r="AV33" s="146"/>
      <c r="AW33" s="146"/>
      <c r="AX33" s="146"/>
      <c r="AY33" s="146"/>
      <c r="AZ33" s="45"/>
    </row>
    <row r="34" spans="2:52" x14ac:dyDescent="0.2">
      <c r="B34" s="45" t="s">
        <v>66</v>
      </c>
      <c r="C34" s="154">
        <v>31</v>
      </c>
      <c r="D34" s="155">
        <f>E34-C34</f>
        <v>-25</v>
      </c>
      <c r="E34" s="154">
        <v>6</v>
      </c>
      <c r="F34" s="155">
        <f>G34-E34</f>
        <v>-28</v>
      </c>
      <c r="G34" s="155">
        <v>-22</v>
      </c>
      <c r="H34" s="155">
        <f>I34-G34</f>
        <v>-7</v>
      </c>
      <c r="I34" s="155">
        <v>-29</v>
      </c>
      <c r="J34" s="196">
        <v>-30</v>
      </c>
      <c r="K34" s="196">
        <f>L34-J34</f>
        <v>-30</v>
      </c>
      <c r="L34" s="196">
        <v>-60</v>
      </c>
      <c r="M34" s="196">
        <f>N34-L34</f>
        <v>-9</v>
      </c>
      <c r="N34" s="196">
        <v>-69</v>
      </c>
      <c r="O34" s="196">
        <f>P34-N34</f>
        <v>-25</v>
      </c>
      <c r="P34" s="196">
        <v>-94</v>
      </c>
      <c r="Q34" s="155">
        <v>-13</v>
      </c>
      <c r="R34" s="155">
        <f>S34-Q34</f>
        <v>-20</v>
      </c>
      <c r="S34" s="155">
        <v>-33</v>
      </c>
      <c r="T34" s="155">
        <f>U34-S34</f>
        <v>-13</v>
      </c>
      <c r="U34" s="155">
        <v>-46</v>
      </c>
      <c r="V34" s="155">
        <f>W34-U34</f>
        <v>-6</v>
      </c>
      <c r="W34" s="155">
        <v>-52</v>
      </c>
      <c r="X34" s="196">
        <v>-13</v>
      </c>
      <c r="Y34" s="196">
        <f>Z34-X34</f>
        <v>-20</v>
      </c>
      <c r="Z34" s="196">
        <v>-33</v>
      </c>
      <c r="AA34" s="196">
        <f>AB34-Z34</f>
        <v>-13</v>
      </c>
      <c r="AB34" s="196">
        <v>-46</v>
      </c>
      <c r="AC34" s="196">
        <f>AD34-AB34</f>
        <v>-6</v>
      </c>
      <c r="AD34" s="196">
        <v>-52</v>
      </c>
      <c r="AE34" s="155">
        <v>-16</v>
      </c>
      <c r="AF34" s="154">
        <f>AG34-AE34</f>
        <v>1</v>
      </c>
      <c r="AG34" s="155">
        <v>-15</v>
      </c>
      <c r="AH34" s="155">
        <f>AI34-AG34</f>
        <v>-7</v>
      </c>
      <c r="AI34" s="155">
        <v>-22</v>
      </c>
      <c r="AJ34" s="154">
        <f>AK34-AI34</f>
        <v>3</v>
      </c>
      <c r="AK34" s="155">
        <v>-19</v>
      </c>
      <c r="AL34" s="195"/>
      <c r="AM34" s="195"/>
      <c r="AN34" s="573">
        <f>-2+9-3</f>
        <v>4</v>
      </c>
      <c r="AO34" s="196"/>
      <c r="AP34" s="196"/>
      <c r="AQ34" s="196"/>
      <c r="AR34" s="615"/>
      <c r="AS34" s="195">
        <v>-14</v>
      </c>
      <c r="AT34" s="195"/>
      <c r="AU34" s="571">
        <f>-3+3-10</f>
        <v>-10</v>
      </c>
      <c r="AV34" s="146"/>
      <c r="AW34" s="146"/>
      <c r="AX34" s="146"/>
      <c r="AY34" s="146"/>
      <c r="AZ34" s="45"/>
    </row>
    <row r="35" spans="2:52" x14ac:dyDescent="0.2">
      <c r="B35" s="45" t="s">
        <v>67</v>
      </c>
      <c r="C35" s="155">
        <v>-2</v>
      </c>
      <c r="D35" s="155">
        <f>E35-C35</f>
        <v>-1</v>
      </c>
      <c r="E35" s="155">
        <v>-3</v>
      </c>
      <c r="F35" s="154">
        <f>G35-E35</f>
        <v>2</v>
      </c>
      <c r="G35" s="155">
        <v>-1</v>
      </c>
      <c r="H35" s="155">
        <f>I35-G35</f>
        <v>-37</v>
      </c>
      <c r="I35" s="155">
        <v>-38</v>
      </c>
      <c r="J35" s="196">
        <v>-3</v>
      </c>
      <c r="K35" s="173">
        <f>L35-J35</f>
        <v>6</v>
      </c>
      <c r="L35" s="173">
        <v>3</v>
      </c>
      <c r="M35" s="173">
        <f>N35-L35</f>
        <v>4</v>
      </c>
      <c r="N35" s="173">
        <v>7</v>
      </c>
      <c r="O35" s="173">
        <f>P35-N35</f>
        <v>0</v>
      </c>
      <c r="P35" s="173">
        <v>7</v>
      </c>
      <c r="Q35" s="154">
        <v>9</v>
      </c>
      <c r="R35" s="155">
        <f>S35-Q35</f>
        <v>-52</v>
      </c>
      <c r="S35" s="155">
        <v>-43</v>
      </c>
      <c r="T35" s="155">
        <f>U35-S35</f>
        <v>-1</v>
      </c>
      <c r="U35" s="155">
        <v>-44</v>
      </c>
      <c r="V35" s="155">
        <f>W35-U35</f>
        <v>13</v>
      </c>
      <c r="W35" s="155">
        <v>-31</v>
      </c>
      <c r="X35" s="173">
        <v>9</v>
      </c>
      <c r="Y35" s="196">
        <f>Z35-X35</f>
        <v>-52</v>
      </c>
      <c r="Z35" s="196">
        <v>-43</v>
      </c>
      <c r="AA35" s="196">
        <f>AB35-Z35</f>
        <v>-1</v>
      </c>
      <c r="AB35" s="196">
        <v>-44</v>
      </c>
      <c r="AC35" s="173">
        <f>AD35-AB35</f>
        <v>13</v>
      </c>
      <c r="AD35" s="196">
        <v>-31</v>
      </c>
      <c r="AE35" s="154">
        <v>1</v>
      </c>
      <c r="AF35" s="154">
        <f>AG35-AE35</f>
        <v>3</v>
      </c>
      <c r="AG35" s="154">
        <v>4</v>
      </c>
      <c r="AH35" s="154">
        <f>AI35-AG35</f>
        <v>1</v>
      </c>
      <c r="AI35" s="154">
        <v>5</v>
      </c>
      <c r="AJ35" s="155">
        <f>AK35-AI35</f>
        <v>-1</v>
      </c>
      <c r="AK35" s="154">
        <v>4</v>
      </c>
      <c r="AL35" s="195"/>
      <c r="AM35" s="195"/>
      <c r="AN35" s="173">
        <v>4</v>
      </c>
      <c r="AO35" s="173"/>
      <c r="AP35" s="173"/>
      <c r="AQ35" s="173"/>
      <c r="AR35" s="613"/>
      <c r="AS35" s="561">
        <v>1</v>
      </c>
      <c r="AT35" s="195"/>
      <c r="AU35" s="146">
        <v>2</v>
      </c>
      <c r="AV35" s="146"/>
      <c r="AW35" s="146"/>
      <c r="AX35" s="146"/>
      <c r="AY35" s="146"/>
      <c r="AZ35" s="45"/>
    </row>
    <row r="36" spans="2:52" ht="15" thickBot="1" x14ac:dyDescent="0.25">
      <c r="B36" s="45"/>
      <c r="C36" s="154"/>
      <c r="D36" s="154"/>
      <c r="E36" s="154"/>
      <c r="F36" s="154"/>
      <c r="G36" s="154"/>
      <c r="H36" s="154"/>
      <c r="I36" s="154"/>
      <c r="J36" s="173"/>
      <c r="K36" s="173"/>
      <c r="L36" s="173"/>
      <c r="M36" s="173"/>
      <c r="N36" s="173"/>
      <c r="O36" s="173"/>
      <c r="P36" s="173"/>
      <c r="Q36" s="154"/>
      <c r="R36" s="154"/>
      <c r="S36" s="154"/>
      <c r="T36" s="154"/>
      <c r="U36" s="154"/>
      <c r="V36" s="154"/>
      <c r="W36" s="154"/>
      <c r="X36" s="173"/>
      <c r="Y36" s="173"/>
      <c r="Z36" s="173"/>
      <c r="AA36" s="173"/>
      <c r="AB36" s="173"/>
      <c r="AC36" s="173"/>
      <c r="AD36" s="173"/>
      <c r="AE36" s="154"/>
      <c r="AF36" s="154"/>
      <c r="AG36" s="154"/>
      <c r="AH36" s="154"/>
      <c r="AI36" s="154"/>
      <c r="AJ36" s="154"/>
      <c r="AK36" s="154"/>
      <c r="AL36" s="195"/>
      <c r="AM36" s="195"/>
      <c r="AN36" s="173"/>
      <c r="AO36" s="173"/>
      <c r="AP36" s="173"/>
      <c r="AQ36" s="173"/>
      <c r="AR36" s="613"/>
      <c r="AS36" s="195"/>
      <c r="AT36" s="195"/>
      <c r="AU36" s="146"/>
      <c r="AV36" s="146"/>
      <c r="AW36" s="146"/>
      <c r="AX36" s="146"/>
      <c r="AY36" s="146"/>
      <c r="AZ36" s="45"/>
    </row>
    <row r="37" spans="2:52" ht="15" thickBot="1" x14ac:dyDescent="0.25">
      <c r="B37" s="64" t="s">
        <v>68</v>
      </c>
      <c r="C37" s="156">
        <f>SUM(C32:C35)</f>
        <v>-90</v>
      </c>
      <c r="D37" s="156">
        <f t="shared" ref="D37:AS37" si="3">SUM(D32:D35)</f>
        <v>-62</v>
      </c>
      <c r="E37" s="156">
        <f t="shared" si="3"/>
        <v>-152</v>
      </c>
      <c r="F37" s="156">
        <f t="shared" si="3"/>
        <v>-28</v>
      </c>
      <c r="G37" s="156">
        <f t="shared" si="3"/>
        <v>-180</v>
      </c>
      <c r="H37" s="156">
        <f t="shared" si="3"/>
        <v>-682</v>
      </c>
      <c r="I37" s="156">
        <f t="shared" si="3"/>
        <v>-862</v>
      </c>
      <c r="J37" s="197">
        <f t="shared" si="3"/>
        <v>-67</v>
      </c>
      <c r="K37" s="175">
        <f t="shared" si="3"/>
        <v>31</v>
      </c>
      <c r="L37" s="197">
        <f t="shared" si="3"/>
        <v>-36</v>
      </c>
      <c r="M37" s="197">
        <f t="shared" si="3"/>
        <v>-36</v>
      </c>
      <c r="N37" s="197">
        <f t="shared" si="3"/>
        <v>-72</v>
      </c>
      <c r="O37" s="197">
        <f t="shared" si="3"/>
        <v>-275</v>
      </c>
      <c r="P37" s="197">
        <f t="shared" si="3"/>
        <v>-347</v>
      </c>
      <c r="Q37" s="153">
        <f t="shared" si="3"/>
        <v>4</v>
      </c>
      <c r="R37" s="156">
        <f t="shared" si="3"/>
        <v>-61</v>
      </c>
      <c r="S37" s="156">
        <f t="shared" si="3"/>
        <v>-57</v>
      </c>
      <c r="T37" s="153">
        <f t="shared" si="3"/>
        <v>51</v>
      </c>
      <c r="U37" s="156">
        <f t="shared" si="3"/>
        <v>-6</v>
      </c>
      <c r="V37" s="156">
        <f t="shared" si="3"/>
        <v>-35</v>
      </c>
      <c r="W37" s="156">
        <f t="shared" si="3"/>
        <v>-41</v>
      </c>
      <c r="X37" s="197">
        <f t="shared" si="3"/>
        <v>4</v>
      </c>
      <c r="Y37" s="197">
        <f t="shared" si="3"/>
        <v>-61</v>
      </c>
      <c r="Z37" s="197">
        <f t="shared" si="3"/>
        <v>-57</v>
      </c>
      <c r="AA37" s="175">
        <f t="shared" si="3"/>
        <v>51</v>
      </c>
      <c r="AB37" s="197">
        <f t="shared" si="3"/>
        <v>-6</v>
      </c>
      <c r="AC37" s="197">
        <f t="shared" si="3"/>
        <v>-35</v>
      </c>
      <c r="AD37" s="197">
        <f t="shared" si="3"/>
        <v>-41</v>
      </c>
      <c r="AE37" s="153">
        <f t="shared" si="3"/>
        <v>80</v>
      </c>
      <c r="AF37" s="153">
        <f t="shared" si="3"/>
        <v>69</v>
      </c>
      <c r="AG37" s="153">
        <f t="shared" si="3"/>
        <v>149</v>
      </c>
      <c r="AH37" s="153">
        <f t="shared" si="3"/>
        <v>69</v>
      </c>
      <c r="AI37" s="153">
        <f t="shared" si="3"/>
        <v>218</v>
      </c>
      <c r="AJ37" s="156">
        <f t="shared" si="3"/>
        <v>-34</v>
      </c>
      <c r="AK37" s="153">
        <f t="shared" si="3"/>
        <v>184</v>
      </c>
      <c r="AL37" s="237"/>
      <c r="AM37" s="237"/>
      <c r="AN37" s="175">
        <f>+AN32+AN34+AN35</f>
        <v>106</v>
      </c>
      <c r="AO37" s="175"/>
      <c r="AP37" s="175"/>
      <c r="AQ37" s="175"/>
      <c r="AR37" s="614"/>
      <c r="AS37" s="237">
        <f t="shared" si="3"/>
        <v>137</v>
      </c>
      <c r="AT37" s="237"/>
      <c r="AU37" s="120">
        <f>+AU32+AU34+AU35</f>
        <v>159</v>
      </c>
      <c r="AV37" s="555"/>
      <c r="AW37" s="555"/>
      <c r="AX37" s="555"/>
      <c r="AY37" s="555"/>
      <c r="AZ37" s="45"/>
    </row>
    <row r="38" spans="2:52" x14ac:dyDescent="0.2">
      <c r="B38" s="191"/>
      <c r="C38" s="154"/>
      <c r="D38" s="154"/>
      <c r="E38" s="154"/>
      <c r="F38" s="154"/>
      <c r="G38" s="154"/>
      <c r="H38" s="154"/>
      <c r="I38" s="154"/>
      <c r="J38" s="173"/>
      <c r="K38" s="173"/>
      <c r="L38" s="173"/>
      <c r="M38" s="173"/>
      <c r="N38" s="173"/>
      <c r="O38" s="173"/>
      <c r="P38" s="173"/>
      <c r="Q38" s="154"/>
      <c r="R38" s="154"/>
      <c r="S38" s="154"/>
      <c r="T38" s="154"/>
      <c r="U38" s="154"/>
      <c r="V38" s="154"/>
      <c r="W38" s="154"/>
      <c r="X38" s="173"/>
      <c r="Y38" s="173"/>
      <c r="Z38" s="173"/>
      <c r="AA38" s="173"/>
      <c r="AB38" s="173"/>
      <c r="AC38" s="173"/>
      <c r="AD38" s="173"/>
      <c r="AE38" s="154"/>
      <c r="AF38" s="154"/>
      <c r="AG38" s="154"/>
      <c r="AH38" s="154"/>
      <c r="AI38" s="154"/>
      <c r="AJ38" s="154"/>
      <c r="AK38" s="154"/>
      <c r="AL38" s="195"/>
      <c r="AM38" s="195"/>
      <c r="AN38" s="173"/>
      <c r="AO38" s="173"/>
      <c r="AP38" s="173"/>
      <c r="AQ38" s="173"/>
      <c r="AR38" s="613"/>
      <c r="AS38" s="195"/>
      <c r="AT38" s="195"/>
      <c r="AU38" s="146"/>
      <c r="AV38" s="146"/>
      <c r="AW38" s="146"/>
      <c r="AX38" s="146"/>
      <c r="AY38" s="146"/>
      <c r="AZ38" s="45"/>
    </row>
    <row r="39" spans="2:52" x14ac:dyDescent="0.2">
      <c r="B39" s="45" t="s">
        <v>69</v>
      </c>
      <c r="C39" s="155">
        <v>-52</v>
      </c>
      <c r="D39" s="154">
        <f>E39-C39</f>
        <v>12</v>
      </c>
      <c r="E39" s="155">
        <v>-40</v>
      </c>
      <c r="F39" s="154">
        <f>G39-E39</f>
        <v>12</v>
      </c>
      <c r="G39" s="155">
        <v>-28</v>
      </c>
      <c r="H39" s="155">
        <f>I39-G39</f>
        <v>-69</v>
      </c>
      <c r="I39" s="155">
        <v>-97</v>
      </c>
      <c r="J39" s="196">
        <v>-4</v>
      </c>
      <c r="K39" s="196">
        <f>L39-J39</f>
        <v>-16</v>
      </c>
      <c r="L39" s="196">
        <v>-20</v>
      </c>
      <c r="M39" s="196">
        <f>N39-L39</f>
        <v>-1</v>
      </c>
      <c r="N39" s="196">
        <v>-21</v>
      </c>
      <c r="O39" s="196">
        <f>P39-N39</f>
        <v>-4</v>
      </c>
      <c r="P39" s="196">
        <v>-25</v>
      </c>
      <c r="Q39" s="155">
        <v>-18</v>
      </c>
      <c r="R39" s="155">
        <f>S39-Q39</f>
        <v>-59</v>
      </c>
      <c r="S39" s="155">
        <v>-77</v>
      </c>
      <c r="T39" s="155">
        <f>U39-S39</f>
        <v>-17</v>
      </c>
      <c r="U39" s="155">
        <v>-94</v>
      </c>
      <c r="V39" s="155">
        <f>W39-U39</f>
        <v>-28</v>
      </c>
      <c r="W39" s="155">
        <v>-122</v>
      </c>
      <c r="X39" s="196">
        <v>-18</v>
      </c>
      <c r="Y39" s="196">
        <f>Z39-X39</f>
        <v>-59</v>
      </c>
      <c r="Z39" s="196">
        <v>-77</v>
      </c>
      <c r="AA39" s="196">
        <f>AB39-Z39</f>
        <v>-17</v>
      </c>
      <c r="AB39" s="196">
        <v>-94</v>
      </c>
      <c r="AC39" s="196">
        <f>AD39-AB39</f>
        <v>-28</v>
      </c>
      <c r="AD39" s="196">
        <v>-122</v>
      </c>
      <c r="AE39" s="155">
        <v>-34</v>
      </c>
      <c r="AF39" s="155">
        <f>AG39-AE39</f>
        <v>-48</v>
      </c>
      <c r="AG39" s="155">
        <v>-82</v>
      </c>
      <c r="AH39" s="155">
        <f>AI39-AG39</f>
        <v>-38</v>
      </c>
      <c r="AI39" s="155">
        <v>-120</v>
      </c>
      <c r="AJ39" s="154">
        <f>AK39-AI39</f>
        <v>3</v>
      </c>
      <c r="AK39" s="155">
        <v>-117</v>
      </c>
      <c r="AL39" s="195"/>
      <c r="AM39" s="195"/>
      <c r="AN39" s="196">
        <v>-36</v>
      </c>
      <c r="AO39" s="196"/>
      <c r="AP39" s="196"/>
      <c r="AQ39" s="196"/>
      <c r="AR39" s="615"/>
      <c r="AS39" s="195">
        <v>-49</v>
      </c>
      <c r="AT39" s="195"/>
      <c r="AU39" s="571">
        <v>-38</v>
      </c>
      <c r="AV39" s="146"/>
      <c r="AW39" s="146"/>
      <c r="AX39" s="146"/>
      <c r="AY39" s="146"/>
      <c r="AZ39" s="45"/>
    </row>
    <row r="40" spans="2:52" ht="15" thickBot="1" x14ac:dyDescent="0.25">
      <c r="B40" s="45"/>
      <c r="C40" s="154"/>
      <c r="D40" s="154"/>
      <c r="E40" s="154"/>
      <c r="F40" s="154"/>
      <c r="G40" s="154"/>
      <c r="H40" s="154"/>
      <c r="I40" s="154"/>
      <c r="J40" s="173"/>
      <c r="K40" s="173"/>
      <c r="L40" s="173"/>
      <c r="M40" s="173"/>
      <c r="N40" s="173"/>
      <c r="O40" s="173"/>
      <c r="P40" s="173"/>
      <c r="Q40" s="154"/>
      <c r="R40" s="154"/>
      <c r="S40" s="154"/>
      <c r="T40" s="154"/>
      <c r="U40" s="154"/>
      <c r="V40" s="154"/>
      <c r="W40" s="154"/>
      <c r="X40" s="173"/>
      <c r="Y40" s="173"/>
      <c r="Z40" s="173"/>
      <c r="AA40" s="173"/>
      <c r="AB40" s="173"/>
      <c r="AC40" s="173"/>
      <c r="AD40" s="173"/>
      <c r="AE40" s="154"/>
      <c r="AF40" s="154"/>
      <c r="AG40" s="154"/>
      <c r="AH40" s="154"/>
      <c r="AI40" s="154"/>
      <c r="AJ40" s="154"/>
      <c r="AK40" s="154"/>
      <c r="AL40" s="195"/>
      <c r="AM40" s="195"/>
      <c r="AN40" s="173"/>
      <c r="AO40" s="173"/>
      <c r="AP40" s="173"/>
      <c r="AQ40" s="173"/>
      <c r="AR40" s="613"/>
      <c r="AS40" s="195"/>
      <c r="AT40" s="195"/>
      <c r="AU40" s="146"/>
      <c r="AV40" s="146"/>
      <c r="AW40" s="146"/>
      <c r="AX40" s="146"/>
      <c r="AY40" s="146"/>
      <c r="AZ40" s="45"/>
    </row>
    <row r="41" spans="2:52" ht="15" thickBot="1" x14ac:dyDescent="0.25">
      <c r="B41" s="64" t="s">
        <v>70</v>
      </c>
      <c r="C41" s="156">
        <f>SUM(C36:C39)</f>
        <v>-142</v>
      </c>
      <c r="D41" s="156">
        <f t="shared" ref="D41:AS41" si="4">SUM(D36:D39)</f>
        <v>-50</v>
      </c>
      <c r="E41" s="156">
        <f t="shared" si="4"/>
        <v>-192</v>
      </c>
      <c r="F41" s="156">
        <f t="shared" si="4"/>
        <v>-16</v>
      </c>
      <c r="G41" s="156">
        <f t="shared" si="4"/>
        <v>-208</v>
      </c>
      <c r="H41" s="156">
        <f t="shared" si="4"/>
        <v>-751</v>
      </c>
      <c r="I41" s="156">
        <f t="shared" si="4"/>
        <v>-959</v>
      </c>
      <c r="J41" s="197">
        <f t="shared" si="4"/>
        <v>-71</v>
      </c>
      <c r="K41" s="175">
        <f t="shared" si="4"/>
        <v>15</v>
      </c>
      <c r="L41" s="197">
        <f t="shared" si="4"/>
        <v>-56</v>
      </c>
      <c r="M41" s="197">
        <f t="shared" si="4"/>
        <v>-37</v>
      </c>
      <c r="N41" s="197">
        <f t="shared" si="4"/>
        <v>-93</v>
      </c>
      <c r="O41" s="197">
        <f t="shared" si="4"/>
        <v>-279</v>
      </c>
      <c r="P41" s="197">
        <f t="shared" si="4"/>
        <v>-372</v>
      </c>
      <c r="Q41" s="156">
        <f t="shared" si="4"/>
        <v>-14</v>
      </c>
      <c r="R41" s="156">
        <f t="shared" si="4"/>
        <v>-120</v>
      </c>
      <c r="S41" s="156">
        <f t="shared" si="4"/>
        <v>-134</v>
      </c>
      <c r="T41" s="153">
        <f t="shared" si="4"/>
        <v>34</v>
      </c>
      <c r="U41" s="156">
        <f t="shared" si="4"/>
        <v>-100</v>
      </c>
      <c r="V41" s="156">
        <f t="shared" si="4"/>
        <v>-63</v>
      </c>
      <c r="W41" s="156">
        <f t="shared" si="4"/>
        <v>-163</v>
      </c>
      <c r="X41" s="197">
        <f t="shared" si="4"/>
        <v>-14</v>
      </c>
      <c r="Y41" s="197">
        <f t="shared" si="4"/>
        <v>-120</v>
      </c>
      <c r="Z41" s="197">
        <f t="shared" si="4"/>
        <v>-134</v>
      </c>
      <c r="AA41" s="175">
        <f t="shared" si="4"/>
        <v>34</v>
      </c>
      <c r="AB41" s="197">
        <f t="shared" si="4"/>
        <v>-100</v>
      </c>
      <c r="AC41" s="197">
        <f t="shared" si="4"/>
        <v>-63</v>
      </c>
      <c r="AD41" s="197">
        <f t="shared" si="4"/>
        <v>-163</v>
      </c>
      <c r="AE41" s="153">
        <f t="shared" si="4"/>
        <v>46</v>
      </c>
      <c r="AF41" s="153">
        <f t="shared" si="4"/>
        <v>21</v>
      </c>
      <c r="AG41" s="153">
        <f t="shared" si="4"/>
        <v>67</v>
      </c>
      <c r="AH41" s="153">
        <f t="shared" si="4"/>
        <v>31</v>
      </c>
      <c r="AI41" s="153">
        <f t="shared" si="4"/>
        <v>98</v>
      </c>
      <c r="AJ41" s="156">
        <f t="shared" si="4"/>
        <v>-31</v>
      </c>
      <c r="AK41" s="153">
        <f t="shared" si="4"/>
        <v>67</v>
      </c>
      <c r="AL41" s="237"/>
      <c r="AM41" s="237"/>
      <c r="AN41" s="175">
        <f>+AN37+AN39</f>
        <v>70</v>
      </c>
      <c r="AO41" s="175"/>
      <c r="AP41" s="175"/>
      <c r="AQ41" s="175"/>
      <c r="AR41" s="614"/>
      <c r="AS41" s="237">
        <f t="shared" si="4"/>
        <v>88</v>
      </c>
      <c r="AT41" s="237"/>
      <c r="AU41" s="120">
        <f>+AU37+AU39</f>
        <v>121</v>
      </c>
      <c r="AV41" s="555"/>
      <c r="AW41" s="555"/>
      <c r="AX41" s="555"/>
      <c r="AY41" s="555"/>
      <c r="AZ41" s="45"/>
    </row>
    <row r="42" spans="2:52" x14ac:dyDescent="0.2">
      <c r="B42" s="191"/>
      <c r="C42" s="154"/>
      <c r="D42" s="154"/>
      <c r="E42" s="154"/>
      <c r="F42" s="154"/>
      <c r="G42" s="154"/>
      <c r="H42" s="154"/>
      <c r="I42" s="154"/>
      <c r="J42" s="173"/>
      <c r="K42" s="173"/>
      <c r="L42" s="173"/>
      <c r="M42" s="173"/>
      <c r="N42" s="173"/>
      <c r="O42" s="173"/>
      <c r="P42" s="173"/>
      <c r="Q42" s="154"/>
      <c r="R42" s="154"/>
      <c r="S42" s="154"/>
      <c r="T42" s="154"/>
      <c r="U42" s="154"/>
      <c r="V42" s="154"/>
      <c r="W42" s="154"/>
      <c r="X42" s="173"/>
      <c r="Y42" s="173"/>
      <c r="Z42" s="173"/>
      <c r="AA42" s="173"/>
      <c r="AB42" s="173"/>
      <c r="AC42" s="173"/>
      <c r="AD42" s="173"/>
      <c r="AE42" s="154"/>
      <c r="AF42" s="154"/>
      <c r="AG42" s="154"/>
      <c r="AH42" s="154"/>
      <c r="AI42" s="154"/>
      <c r="AJ42" s="154"/>
      <c r="AK42" s="154"/>
      <c r="AL42" s="195"/>
      <c r="AM42" s="195"/>
      <c r="AN42" s="173"/>
      <c r="AO42" s="173"/>
      <c r="AP42" s="173"/>
      <c r="AQ42" s="173"/>
      <c r="AR42" s="613"/>
      <c r="AS42" s="195"/>
      <c r="AT42" s="195"/>
      <c r="AU42" s="146"/>
      <c r="AV42" s="146"/>
      <c r="AW42" s="146"/>
      <c r="AX42" s="146"/>
      <c r="AY42" s="146"/>
      <c r="AZ42" s="45"/>
    </row>
    <row r="43" spans="2:52" x14ac:dyDescent="0.2">
      <c r="B43" s="80" t="s">
        <v>71</v>
      </c>
      <c r="C43" s="146">
        <v>0</v>
      </c>
      <c r="D43" s="146">
        <f>E43-C43</f>
        <v>0</v>
      </c>
      <c r="E43" s="146">
        <v>0</v>
      </c>
      <c r="F43" s="146">
        <f>G43-E43</f>
        <v>0</v>
      </c>
      <c r="G43" s="146">
        <v>0</v>
      </c>
      <c r="H43" s="146">
        <f>I43-G43</f>
        <v>0</v>
      </c>
      <c r="I43" s="146">
        <v>0</v>
      </c>
      <c r="J43" s="173">
        <v>0</v>
      </c>
      <c r="K43" s="173">
        <f>L43-J43</f>
        <v>0</v>
      </c>
      <c r="L43" s="173">
        <v>0</v>
      </c>
      <c r="M43" s="173">
        <f>N43-L43</f>
        <v>0</v>
      </c>
      <c r="N43" s="173">
        <v>0</v>
      </c>
      <c r="O43" s="173">
        <f>P43-N43</f>
        <v>0</v>
      </c>
      <c r="P43" s="173">
        <v>0</v>
      </c>
      <c r="Q43" s="146">
        <v>0</v>
      </c>
      <c r="R43" s="146">
        <f>S43-Q43</f>
        <v>0</v>
      </c>
      <c r="S43" s="146">
        <v>0</v>
      </c>
      <c r="T43" s="146">
        <f>U43-S43</f>
        <v>0</v>
      </c>
      <c r="U43" s="146">
        <v>0</v>
      </c>
      <c r="V43" s="146">
        <f>W43-U43</f>
        <v>0</v>
      </c>
      <c r="W43" s="146">
        <v>0</v>
      </c>
      <c r="X43" s="173">
        <v>0</v>
      </c>
      <c r="Y43" s="173">
        <f>Z43-X43</f>
        <v>0</v>
      </c>
      <c r="Z43" s="173">
        <v>0</v>
      </c>
      <c r="AA43" s="173">
        <f>AB43-Z43</f>
        <v>0</v>
      </c>
      <c r="AB43" s="173">
        <v>0</v>
      </c>
      <c r="AC43" s="173">
        <f>AD43-AB43</f>
        <v>0</v>
      </c>
      <c r="AD43" s="173">
        <v>0</v>
      </c>
      <c r="AE43" s="146">
        <v>0</v>
      </c>
      <c r="AF43" s="146">
        <f>AG43-AE43</f>
        <v>0</v>
      </c>
      <c r="AG43" s="146">
        <v>0</v>
      </c>
      <c r="AH43" s="146">
        <f>AI43-AG43</f>
        <v>0</v>
      </c>
      <c r="AI43" s="146">
        <v>0</v>
      </c>
      <c r="AJ43" s="146">
        <f>AK43-AI43</f>
        <v>0</v>
      </c>
      <c r="AK43" s="146">
        <v>0</v>
      </c>
      <c r="AL43" s="195"/>
      <c r="AM43" s="195"/>
      <c r="AN43" s="574">
        <v>-3</v>
      </c>
      <c r="AO43" s="173"/>
      <c r="AP43" s="173"/>
      <c r="AQ43" s="173"/>
      <c r="AR43" s="613"/>
      <c r="AS43" s="195">
        <v>0</v>
      </c>
      <c r="AT43" s="195"/>
      <c r="AU43" s="571">
        <v>-518</v>
      </c>
      <c r="AV43" s="146"/>
      <c r="AW43" s="146"/>
      <c r="AX43" s="146"/>
      <c r="AY43" s="146"/>
      <c r="AZ43" s="45"/>
    </row>
    <row r="44" spans="2:52" ht="15" thickBot="1" x14ac:dyDescent="0.25">
      <c r="B44" s="80"/>
      <c r="C44" s="146"/>
      <c r="D44" s="146"/>
      <c r="E44" s="146"/>
      <c r="F44" s="146"/>
      <c r="G44" s="146"/>
      <c r="H44" s="146"/>
      <c r="I44" s="146"/>
      <c r="J44" s="173"/>
      <c r="K44" s="173"/>
      <c r="L44" s="173"/>
      <c r="M44" s="173"/>
      <c r="N44" s="173"/>
      <c r="O44" s="173"/>
      <c r="P44" s="173"/>
      <c r="Q44" s="146"/>
      <c r="R44" s="146"/>
      <c r="S44" s="146"/>
      <c r="T44" s="146"/>
      <c r="U44" s="146"/>
      <c r="V44" s="146"/>
      <c r="W44" s="146"/>
      <c r="X44" s="173"/>
      <c r="Y44" s="173"/>
      <c r="Z44" s="173"/>
      <c r="AA44" s="173"/>
      <c r="AB44" s="173"/>
      <c r="AC44" s="173"/>
      <c r="AD44" s="173"/>
      <c r="AE44" s="146"/>
      <c r="AF44" s="146"/>
      <c r="AG44" s="146"/>
      <c r="AH44" s="146"/>
      <c r="AI44" s="146"/>
      <c r="AJ44" s="146"/>
      <c r="AK44" s="146"/>
      <c r="AL44" s="195"/>
      <c r="AM44" s="195"/>
      <c r="AN44" s="173"/>
      <c r="AO44" s="173"/>
      <c r="AP44" s="173"/>
      <c r="AQ44" s="173"/>
      <c r="AR44" s="613"/>
      <c r="AS44" s="195"/>
      <c r="AT44" s="195"/>
      <c r="AU44" s="146"/>
      <c r="AV44" s="146"/>
      <c r="AW44" s="146"/>
      <c r="AX44" s="146"/>
      <c r="AY44" s="146"/>
      <c r="AZ44" s="45"/>
    </row>
    <row r="45" spans="2:52" ht="15" thickBot="1" x14ac:dyDescent="0.25">
      <c r="B45" s="64" t="s">
        <v>72</v>
      </c>
      <c r="C45" s="156">
        <f>SUM(C40:C43)</f>
        <v>-142</v>
      </c>
      <c r="D45" s="156">
        <f t="shared" ref="D45:AS45" si="5">SUM(D40:D43)</f>
        <v>-50</v>
      </c>
      <c r="E45" s="156">
        <f t="shared" si="5"/>
        <v>-192</v>
      </c>
      <c r="F45" s="156">
        <f t="shared" si="5"/>
        <v>-16</v>
      </c>
      <c r="G45" s="156">
        <f t="shared" si="5"/>
        <v>-208</v>
      </c>
      <c r="H45" s="156">
        <f t="shared" si="5"/>
        <v>-751</v>
      </c>
      <c r="I45" s="156">
        <f t="shared" si="5"/>
        <v>-959</v>
      </c>
      <c r="J45" s="197">
        <f t="shared" si="5"/>
        <v>-71</v>
      </c>
      <c r="K45" s="175">
        <f t="shared" si="5"/>
        <v>15</v>
      </c>
      <c r="L45" s="197">
        <f t="shared" si="5"/>
        <v>-56</v>
      </c>
      <c r="M45" s="197">
        <f t="shared" si="5"/>
        <v>-37</v>
      </c>
      <c r="N45" s="197">
        <f t="shared" si="5"/>
        <v>-93</v>
      </c>
      <c r="O45" s="197">
        <f t="shared" si="5"/>
        <v>-279</v>
      </c>
      <c r="P45" s="197">
        <f t="shared" si="5"/>
        <v>-372</v>
      </c>
      <c r="Q45" s="156">
        <f t="shared" si="5"/>
        <v>-14</v>
      </c>
      <c r="R45" s="156">
        <f t="shared" si="5"/>
        <v>-120</v>
      </c>
      <c r="S45" s="156">
        <f t="shared" si="5"/>
        <v>-134</v>
      </c>
      <c r="T45" s="153">
        <f t="shared" si="5"/>
        <v>34</v>
      </c>
      <c r="U45" s="156">
        <f t="shared" si="5"/>
        <v>-100</v>
      </c>
      <c r="V45" s="156">
        <f t="shared" si="5"/>
        <v>-63</v>
      </c>
      <c r="W45" s="156">
        <f t="shared" si="5"/>
        <v>-163</v>
      </c>
      <c r="X45" s="197">
        <f t="shared" si="5"/>
        <v>-14</v>
      </c>
      <c r="Y45" s="197">
        <f t="shared" si="5"/>
        <v>-120</v>
      </c>
      <c r="Z45" s="197">
        <f t="shared" si="5"/>
        <v>-134</v>
      </c>
      <c r="AA45" s="175">
        <f t="shared" si="5"/>
        <v>34</v>
      </c>
      <c r="AB45" s="197">
        <f t="shared" si="5"/>
        <v>-100</v>
      </c>
      <c r="AC45" s="197">
        <f t="shared" si="5"/>
        <v>-63</v>
      </c>
      <c r="AD45" s="197">
        <f t="shared" si="5"/>
        <v>-163</v>
      </c>
      <c r="AE45" s="153">
        <f t="shared" si="5"/>
        <v>46</v>
      </c>
      <c r="AF45" s="153">
        <f t="shared" si="5"/>
        <v>21</v>
      </c>
      <c r="AG45" s="153">
        <f t="shared" si="5"/>
        <v>67</v>
      </c>
      <c r="AH45" s="153">
        <f t="shared" si="5"/>
        <v>31</v>
      </c>
      <c r="AI45" s="153">
        <f t="shared" si="5"/>
        <v>98</v>
      </c>
      <c r="AJ45" s="156">
        <f t="shared" si="5"/>
        <v>-31</v>
      </c>
      <c r="AK45" s="153">
        <f t="shared" si="5"/>
        <v>67</v>
      </c>
      <c r="AL45" s="237"/>
      <c r="AM45" s="237"/>
      <c r="AN45" s="175">
        <f>+AN41+AN43</f>
        <v>67</v>
      </c>
      <c r="AO45" s="175"/>
      <c r="AP45" s="175"/>
      <c r="AQ45" s="175"/>
      <c r="AR45" s="614"/>
      <c r="AS45" s="237">
        <f t="shared" si="5"/>
        <v>88</v>
      </c>
      <c r="AT45" s="237"/>
      <c r="AU45" s="120">
        <f>+AU41+AU43</f>
        <v>-397</v>
      </c>
      <c r="AV45" s="555"/>
      <c r="AW45" s="555"/>
      <c r="AX45" s="555"/>
      <c r="AY45" s="555"/>
      <c r="AZ45" s="45"/>
    </row>
    <row r="46" spans="2:52" x14ac:dyDescent="0.2">
      <c r="B46" s="191"/>
      <c r="C46" s="154"/>
      <c r="D46" s="154"/>
      <c r="E46" s="154"/>
      <c r="F46" s="154"/>
      <c r="G46" s="154"/>
      <c r="H46" s="154"/>
      <c r="I46" s="154"/>
      <c r="J46" s="173"/>
      <c r="K46" s="173"/>
      <c r="L46" s="173"/>
      <c r="M46" s="173"/>
      <c r="N46" s="173"/>
      <c r="O46" s="173"/>
      <c r="P46" s="173"/>
      <c r="Q46" s="154"/>
      <c r="R46" s="154"/>
      <c r="S46" s="154"/>
      <c r="T46" s="154"/>
      <c r="U46" s="154"/>
      <c r="V46" s="154"/>
      <c r="W46" s="154"/>
      <c r="X46" s="173"/>
      <c r="Y46" s="173"/>
      <c r="Z46" s="173"/>
      <c r="AA46" s="173"/>
      <c r="AB46" s="173"/>
      <c r="AC46" s="173"/>
      <c r="AD46" s="173"/>
      <c r="AE46" s="154"/>
      <c r="AF46" s="154"/>
      <c r="AG46" s="154"/>
      <c r="AH46" s="154"/>
      <c r="AI46" s="154"/>
      <c r="AJ46" s="154"/>
      <c r="AK46" s="154"/>
      <c r="AL46" s="195"/>
      <c r="AM46" s="195"/>
      <c r="AN46" s="173"/>
      <c r="AO46" s="173"/>
      <c r="AP46" s="173"/>
      <c r="AQ46" s="173"/>
      <c r="AR46" s="613"/>
      <c r="AS46" s="195"/>
      <c r="AT46" s="195"/>
      <c r="AU46" s="146"/>
      <c r="AV46" s="146"/>
      <c r="AW46" s="146"/>
      <c r="AX46" s="146"/>
      <c r="AY46" s="146"/>
      <c r="AZ46" s="45"/>
    </row>
    <row r="47" spans="2:52" x14ac:dyDescent="0.2">
      <c r="B47" s="45" t="s">
        <v>73</v>
      </c>
      <c r="C47" s="155">
        <v>-11</v>
      </c>
      <c r="D47" s="155">
        <f>E47-C47</f>
        <v>-4</v>
      </c>
      <c r="E47" s="155">
        <v>-15</v>
      </c>
      <c r="F47" s="155">
        <f>G47-E47</f>
        <v>-8</v>
      </c>
      <c r="G47" s="155">
        <v>-23</v>
      </c>
      <c r="H47" s="154">
        <f>I47-G47</f>
        <v>2</v>
      </c>
      <c r="I47" s="155">
        <v>-21</v>
      </c>
      <c r="J47" s="196">
        <v>-5</v>
      </c>
      <c r="K47" s="196">
        <f>L47-J47</f>
        <v>-6</v>
      </c>
      <c r="L47" s="196">
        <v>-11</v>
      </c>
      <c r="M47" s="196">
        <f>N47-L47</f>
        <v>-3</v>
      </c>
      <c r="N47" s="196">
        <v>-14</v>
      </c>
      <c r="O47" s="196">
        <f>P47-N47</f>
        <v>-3</v>
      </c>
      <c r="P47" s="196">
        <v>-17</v>
      </c>
      <c r="Q47" s="155">
        <v>-5</v>
      </c>
      <c r="R47" s="155">
        <f>S47-Q47</f>
        <v>-1</v>
      </c>
      <c r="S47" s="155">
        <v>-6</v>
      </c>
      <c r="T47" s="155">
        <f>U47-S47</f>
        <v>-4</v>
      </c>
      <c r="U47" s="155">
        <v>-10</v>
      </c>
      <c r="V47" s="155">
        <f>W47-U47</f>
        <v>-3</v>
      </c>
      <c r="W47" s="155">
        <v>-13</v>
      </c>
      <c r="X47" s="196">
        <v>-5</v>
      </c>
      <c r="Y47" s="196">
        <f>Z47-X47</f>
        <v>-1</v>
      </c>
      <c r="Z47" s="196">
        <v>-6</v>
      </c>
      <c r="AA47" s="196">
        <f>AB47-Z47</f>
        <v>-4</v>
      </c>
      <c r="AB47" s="196">
        <v>-10</v>
      </c>
      <c r="AC47" s="196">
        <f>AD47-AB47</f>
        <v>-3</v>
      </c>
      <c r="AD47" s="196">
        <v>-13</v>
      </c>
      <c r="AE47" s="155">
        <v>-4</v>
      </c>
      <c r="AF47" s="155">
        <f>AG47-AE47</f>
        <v>-1</v>
      </c>
      <c r="AG47" s="155">
        <v>-5</v>
      </c>
      <c r="AH47" s="155">
        <f>AI47-AG47</f>
        <v>-6</v>
      </c>
      <c r="AI47" s="155">
        <v>-11</v>
      </c>
      <c r="AJ47" s="155">
        <f>AK47-AI47</f>
        <v>-2</v>
      </c>
      <c r="AK47" s="155">
        <v>-13</v>
      </c>
      <c r="AL47" s="195"/>
      <c r="AM47" s="195"/>
      <c r="AN47" s="196">
        <v>-5</v>
      </c>
      <c r="AO47" s="196"/>
      <c r="AP47" s="196"/>
      <c r="AQ47" s="196"/>
      <c r="AR47" s="615"/>
      <c r="AS47" s="195">
        <v>-9</v>
      </c>
      <c r="AT47" s="195"/>
      <c r="AU47" s="571">
        <v>-9</v>
      </c>
      <c r="AV47" s="146"/>
      <c r="AW47" s="146"/>
      <c r="AX47" s="146"/>
      <c r="AY47" s="146"/>
      <c r="AZ47" s="45"/>
    </row>
    <row r="48" spans="2:52" ht="15" thickBot="1" x14ac:dyDescent="0.25">
      <c r="B48" s="45"/>
      <c r="C48" s="154"/>
      <c r="D48" s="154"/>
      <c r="E48" s="154"/>
      <c r="F48" s="154"/>
      <c r="G48" s="154"/>
      <c r="H48" s="154"/>
      <c r="I48" s="154"/>
      <c r="J48" s="173"/>
      <c r="K48" s="173"/>
      <c r="L48" s="173"/>
      <c r="M48" s="173"/>
      <c r="N48" s="173"/>
      <c r="O48" s="173"/>
      <c r="P48" s="173"/>
      <c r="Q48" s="154"/>
      <c r="R48" s="154"/>
      <c r="S48" s="154"/>
      <c r="T48" s="154"/>
      <c r="U48" s="154"/>
      <c r="V48" s="154"/>
      <c r="W48" s="154"/>
      <c r="X48" s="173"/>
      <c r="Y48" s="173"/>
      <c r="Z48" s="173"/>
      <c r="AA48" s="173"/>
      <c r="AB48" s="173"/>
      <c r="AC48" s="173"/>
      <c r="AD48" s="173"/>
      <c r="AE48" s="154"/>
      <c r="AF48" s="154"/>
      <c r="AG48" s="154"/>
      <c r="AH48" s="154"/>
      <c r="AI48" s="154"/>
      <c r="AJ48" s="154"/>
      <c r="AK48" s="154"/>
      <c r="AL48" s="195"/>
      <c r="AM48" s="195"/>
      <c r="AN48" s="173"/>
      <c r="AO48" s="173"/>
      <c r="AP48" s="173"/>
      <c r="AQ48" s="173"/>
      <c r="AR48" s="613"/>
      <c r="AS48" s="195"/>
      <c r="AT48" s="195"/>
      <c r="AU48" s="146"/>
      <c r="AV48" s="146"/>
      <c r="AW48" s="146"/>
      <c r="AX48" s="146"/>
      <c r="AY48" s="146"/>
      <c r="AZ48" s="45"/>
    </row>
    <row r="49" spans="2:52" ht="15" thickBot="1" x14ac:dyDescent="0.25">
      <c r="B49" s="64" t="s">
        <v>74</v>
      </c>
      <c r="C49" s="156">
        <f>SUM(C44:C47)</f>
        <v>-153</v>
      </c>
      <c r="D49" s="156">
        <f t="shared" ref="D49:AS49" si="6">SUM(D44:D47)</f>
        <v>-54</v>
      </c>
      <c r="E49" s="156">
        <f t="shared" si="6"/>
        <v>-207</v>
      </c>
      <c r="F49" s="156">
        <f t="shared" si="6"/>
        <v>-24</v>
      </c>
      <c r="G49" s="156">
        <f t="shared" si="6"/>
        <v>-231</v>
      </c>
      <c r="H49" s="156">
        <f t="shared" si="6"/>
        <v>-749</v>
      </c>
      <c r="I49" s="156">
        <f t="shared" si="6"/>
        <v>-980</v>
      </c>
      <c r="J49" s="197">
        <f t="shared" si="6"/>
        <v>-76</v>
      </c>
      <c r="K49" s="175">
        <f t="shared" si="6"/>
        <v>9</v>
      </c>
      <c r="L49" s="197">
        <f t="shared" si="6"/>
        <v>-67</v>
      </c>
      <c r="M49" s="197">
        <f t="shared" si="6"/>
        <v>-40</v>
      </c>
      <c r="N49" s="197">
        <f t="shared" si="6"/>
        <v>-107</v>
      </c>
      <c r="O49" s="197">
        <f t="shared" si="6"/>
        <v>-282</v>
      </c>
      <c r="P49" s="197">
        <f t="shared" si="6"/>
        <v>-389</v>
      </c>
      <c r="Q49" s="156">
        <f t="shared" si="6"/>
        <v>-19</v>
      </c>
      <c r="R49" s="156">
        <f t="shared" si="6"/>
        <v>-121</v>
      </c>
      <c r="S49" s="156">
        <f t="shared" si="6"/>
        <v>-140</v>
      </c>
      <c r="T49" s="153">
        <f t="shared" si="6"/>
        <v>30</v>
      </c>
      <c r="U49" s="156">
        <f t="shared" si="6"/>
        <v>-110</v>
      </c>
      <c r="V49" s="156">
        <f t="shared" si="6"/>
        <v>-66</v>
      </c>
      <c r="W49" s="156">
        <f t="shared" si="6"/>
        <v>-176</v>
      </c>
      <c r="X49" s="197">
        <f t="shared" si="6"/>
        <v>-19</v>
      </c>
      <c r="Y49" s="197">
        <f t="shared" si="6"/>
        <v>-121</v>
      </c>
      <c r="Z49" s="197">
        <f t="shared" si="6"/>
        <v>-140</v>
      </c>
      <c r="AA49" s="175">
        <f t="shared" si="6"/>
        <v>30</v>
      </c>
      <c r="AB49" s="197">
        <f t="shared" si="6"/>
        <v>-110</v>
      </c>
      <c r="AC49" s="197">
        <f t="shared" si="6"/>
        <v>-66</v>
      </c>
      <c r="AD49" s="197">
        <f t="shared" si="6"/>
        <v>-176</v>
      </c>
      <c r="AE49" s="153">
        <f t="shared" si="6"/>
        <v>42</v>
      </c>
      <c r="AF49" s="153">
        <f t="shared" si="6"/>
        <v>20</v>
      </c>
      <c r="AG49" s="153">
        <f t="shared" si="6"/>
        <v>62</v>
      </c>
      <c r="AH49" s="153">
        <f t="shared" si="6"/>
        <v>25</v>
      </c>
      <c r="AI49" s="153">
        <f t="shared" si="6"/>
        <v>87</v>
      </c>
      <c r="AJ49" s="156">
        <f t="shared" si="6"/>
        <v>-33</v>
      </c>
      <c r="AK49" s="153">
        <f t="shared" si="6"/>
        <v>54</v>
      </c>
      <c r="AL49" s="237"/>
      <c r="AM49" s="237"/>
      <c r="AN49" s="175">
        <f>+AN45+AN47</f>
        <v>62</v>
      </c>
      <c r="AO49" s="175"/>
      <c r="AP49" s="175"/>
      <c r="AQ49" s="175"/>
      <c r="AR49" s="175">
        <v>54</v>
      </c>
      <c r="AS49" s="237">
        <f t="shared" si="6"/>
        <v>79</v>
      </c>
      <c r="AT49" s="237"/>
      <c r="AU49" s="572">
        <f>+AU45+AU47</f>
        <v>-406</v>
      </c>
      <c r="AV49" s="555"/>
      <c r="AW49" s="555"/>
      <c r="AX49" s="555"/>
      <c r="AY49" s="555"/>
      <c r="AZ49" s="45"/>
    </row>
    <row r="50" spans="2:52" x14ac:dyDescent="0.2">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N50" s="45"/>
      <c r="AO50" s="45"/>
      <c r="AP50" s="45"/>
      <c r="AQ50" s="45"/>
      <c r="AR50" s="45"/>
      <c r="AS50" s="80"/>
      <c r="AT50" s="80"/>
      <c r="AU50" s="80"/>
      <c r="AV50" s="80"/>
      <c r="AW50" s="80"/>
      <c r="AX50" s="80"/>
      <c r="AY50" s="80"/>
      <c r="AZ50" s="45"/>
    </row>
    <row r="51" spans="2:52" ht="30" customHeight="1" x14ac:dyDescent="0.2">
      <c r="B51" s="605" t="s">
        <v>983</v>
      </c>
      <c r="C51" s="605"/>
      <c r="D51" s="605"/>
      <c r="E51" s="605"/>
      <c r="F51" s="605"/>
      <c r="G51" s="605"/>
      <c r="H51" s="605"/>
      <c r="I51" s="605"/>
      <c r="J51" s="605"/>
      <c r="K51" s="605"/>
      <c r="L51" s="605"/>
      <c r="M51" s="605"/>
      <c r="N51" s="605"/>
      <c r="O51" s="605"/>
      <c r="P51" s="605"/>
      <c r="Q51" s="605"/>
      <c r="R51" s="605"/>
      <c r="S51" s="605"/>
      <c r="AS51" s="105"/>
      <c r="AT51" s="105"/>
      <c r="AU51" s="105"/>
      <c r="AV51" s="105"/>
      <c r="AW51" s="105"/>
      <c r="AX51" s="105"/>
      <c r="AY51" s="105"/>
    </row>
    <row r="52" spans="2:52" x14ac:dyDescent="0.2">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N52" s="45"/>
      <c r="AO52" s="45"/>
      <c r="AP52" s="45"/>
      <c r="AQ52" s="45"/>
      <c r="AR52" s="45"/>
      <c r="AS52" s="80"/>
      <c r="AT52" s="80"/>
      <c r="AU52" s="80"/>
      <c r="AV52" s="80"/>
      <c r="AW52" s="80"/>
      <c r="AX52" s="80"/>
      <c r="AY52" s="80"/>
      <c r="AZ52" s="45"/>
    </row>
    <row r="53" spans="2:52" ht="21" thickBot="1" x14ac:dyDescent="0.35">
      <c r="B53" s="199" t="s">
        <v>807</v>
      </c>
      <c r="C53" s="596">
        <v>2015</v>
      </c>
      <c r="D53" s="596"/>
      <c r="E53" s="596"/>
      <c r="F53" s="596"/>
      <c r="G53" s="596"/>
      <c r="H53" s="596"/>
      <c r="I53" s="596"/>
      <c r="J53" s="595" t="s">
        <v>881</v>
      </c>
      <c r="K53" s="595"/>
      <c r="L53" s="595"/>
      <c r="M53" s="595"/>
      <c r="N53" s="595"/>
      <c r="O53" s="595"/>
      <c r="P53" s="595"/>
      <c r="Q53" s="595">
        <v>2017</v>
      </c>
      <c r="R53" s="595"/>
      <c r="S53" s="595"/>
      <c r="T53" s="595"/>
      <c r="U53" s="595"/>
      <c r="V53" s="595"/>
      <c r="W53" s="595"/>
      <c r="X53" s="595" t="s">
        <v>779</v>
      </c>
      <c r="Y53" s="595"/>
      <c r="Z53" s="595"/>
      <c r="AA53" s="595"/>
      <c r="AB53" s="595"/>
      <c r="AC53" s="595"/>
      <c r="AD53" s="595"/>
      <c r="AE53" s="595" t="s">
        <v>963</v>
      </c>
      <c r="AF53" s="595"/>
      <c r="AG53" s="595"/>
      <c r="AH53" s="595"/>
      <c r="AI53" s="595"/>
      <c r="AJ53" s="595"/>
      <c r="AK53" s="595"/>
      <c r="AN53" s="552"/>
      <c r="AO53" s="554" t="s">
        <v>1037</v>
      </c>
      <c r="AP53" s="552"/>
      <c r="AQ53" s="552"/>
      <c r="AR53" s="552"/>
      <c r="AS53" s="604" t="s">
        <v>964</v>
      </c>
      <c r="AT53" s="604"/>
      <c r="AU53" s="604"/>
      <c r="AV53" s="604"/>
      <c r="AW53" s="604"/>
      <c r="AX53" s="604"/>
      <c r="AY53" s="604"/>
      <c r="AZ53" s="45"/>
    </row>
    <row r="54" spans="2:52" ht="15" thickBot="1" x14ac:dyDescent="0.25">
      <c r="B54" s="114" t="s">
        <v>740</v>
      </c>
      <c r="C54" s="82" t="s">
        <v>621</v>
      </c>
      <c r="D54" s="82"/>
      <c r="E54" s="82" t="s">
        <v>623</v>
      </c>
      <c r="F54" s="82"/>
      <c r="G54" s="82" t="s">
        <v>81</v>
      </c>
      <c r="H54" s="82"/>
      <c r="I54" s="82" t="s">
        <v>82</v>
      </c>
      <c r="J54" s="73" t="s">
        <v>621</v>
      </c>
      <c r="K54" s="73"/>
      <c r="L54" s="73" t="s">
        <v>623</v>
      </c>
      <c r="M54" s="73"/>
      <c r="N54" s="73" t="s">
        <v>81</v>
      </c>
      <c r="O54" s="73"/>
      <c r="P54" s="73" t="s">
        <v>82</v>
      </c>
      <c r="Q54" s="82" t="s">
        <v>621</v>
      </c>
      <c r="R54" s="82"/>
      <c r="S54" s="82" t="s">
        <v>623</v>
      </c>
      <c r="T54" s="82"/>
      <c r="U54" s="82" t="s">
        <v>81</v>
      </c>
      <c r="V54" s="82"/>
      <c r="W54" s="82" t="s">
        <v>82</v>
      </c>
      <c r="X54" s="73" t="s">
        <v>621</v>
      </c>
      <c r="Y54" s="73"/>
      <c r="Z54" s="73" t="s">
        <v>623</v>
      </c>
      <c r="AA54" s="73"/>
      <c r="AB54" s="73" t="s">
        <v>81</v>
      </c>
      <c r="AC54" s="73"/>
      <c r="AD54" s="73" t="s">
        <v>82</v>
      </c>
      <c r="AE54" s="82" t="s">
        <v>621</v>
      </c>
      <c r="AF54" s="82"/>
      <c r="AG54" s="82" t="s">
        <v>623</v>
      </c>
      <c r="AH54" s="82"/>
      <c r="AI54" s="82" t="s">
        <v>81</v>
      </c>
      <c r="AJ54" s="82"/>
      <c r="AK54" s="82" t="s">
        <v>82</v>
      </c>
      <c r="AL54" s="73" t="s">
        <v>621</v>
      </c>
      <c r="AM54" s="73" t="s">
        <v>622</v>
      </c>
      <c r="AN54" s="73" t="s">
        <v>623</v>
      </c>
      <c r="AO54" s="73" t="s">
        <v>624</v>
      </c>
      <c r="AP54" s="73" t="s">
        <v>81</v>
      </c>
      <c r="AQ54" s="73" t="s">
        <v>625</v>
      </c>
      <c r="AR54" s="73" t="s">
        <v>82</v>
      </c>
      <c r="AS54" s="82" t="s">
        <v>621</v>
      </c>
      <c r="AT54" s="82"/>
      <c r="AU54" s="82" t="s">
        <v>623</v>
      </c>
      <c r="AV54" s="82"/>
      <c r="AW54" s="82" t="s">
        <v>81</v>
      </c>
      <c r="AX54" s="82"/>
      <c r="AY54" s="82" t="s">
        <v>82</v>
      </c>
      <c r="AZ54" s="45"/>
    </row>
    <row r="55" spans="2:52" ht="15.75" thickBot="1" x14ac:dyDescent="0.3">
      <c r="B55" s="200"/>
      <c r="C55" s="142"/>
      <c r="D55" s="142"/>
      <c r="E55" s="142"/>
      <c r="F55" s="142"/>
      <c r="G55" s="142"/>
      <c r="H55" s="142"/>
      <c r="I55" s="142"/>
      <c r="J55" s="201"/>
      <c r="K55" s="201"/>
      <c r="L55" s="201"/>
      <c r="M55" s="201"/>
      <c r="N55" s="201"/>
      <c r="O55" s="201"/>
      <c r="P55" s="201"/>
      <c r="Q55" s="142"/>
      <c r="R55" s="142"/>
      <c r="S55" s="142"/>
      <c r="T55" s="142"/>
      <c r="U55" s="142"/>
      <c r="V55" s="142"/>
      <c r="W55" s="142"/>
      <c r="X55" s="201"/>
      <c r="Y55" s="201"/>
      <c r="Z55" s="202"/>
      <c r="AA55" s="201"/>
      <c r="AB55" s="201"/>
      <c r="AC55" s="201"/>
      <c r="AD55" s="201"/>
      <c r="AE55" s="142"/>
      <c r="AF55" s="142"/>
      <c r="AG55" s="142"/>
      <c r="AH55" s="142"/>
      <c r="AI55" s="142"/>
      <c r="AJ55" s="142"/>
      <c r="AK55" s="142"/>
      <c r="AL55" s="558"/>
      <c r="AM55" s="558"/>
      <c r="AN55" s="201"/>
      <c r="AO55" s="201"/>
      <c r="AP55" s="201"/>
      <c r="AQ55" s="201"/>
      <c r="AR55" s="201"/>
      <c r="AS55" s="581"/>
      <c r="AT55" s="581"/>
      <c r="AU55" s="142"/>
      <c r="AV55" s="142"/>
      <c r="AW55" s="142"/>
      <c r="AX55" s="142"/>
      <c r="AY55" s="142"/>
      <c r="AZ55"/>
    </row>
    <row r="56" spans="2:52" ht="15" x14ac:dyDescent="0.25">
      <c r="B56" s="203" t="s">
        <v>80</v>
      </c>
      <c r="C56" s="207">
        <v>8720</v>
      </c>
      <c r="D56" s="207"/>
      <c r="E56" s="207">
        <v>8754</v>
      </c>
      <c r="F56" s="207"/>
      <c r="G56" s="207">
        <v>8523</v>
      </c>
      <c r="H56" s="207"/>
      <c r="I56" s="207">
        <v>7023</v>
      </c>
      <c r="J56" s="208">
        <v>6985</v>
      </c>
      <c r="K56" s="208"/>
      <c r="L56" s="208">
        <v>7337</v>
      </c>
      <c r="M56" s="208"/>
      <c r="N56" s="208">
        <v>7578</v>
      </c>
      <c r="O56" s="208"/>
      <c r="P56" s="208">
        <v>7327</v>
      </c>
      <c r="Q56" s="207">
        <v>7228</v>
      </c>
      <c r="R56" s="207"/>
      <c r="S56" s="207">
        <v>6884</v>
      </c>
      <c r="T56" s="207"/>
      <c r="U56" s="207">
        <v>6832</v>
      </c>
      <c r="V56" s="207"/>
      <c r="W56" s="207">
        <v>6319</v>
      </c>
      <c r="X56" s="208">
        <v>7228</v>
      </c>
      <c r="Y56" s="208"/>
      <c r="Z56" s="208">
        <v>6884</v>
      </c>
      <c r="AA56" s="208"/>
      <c r="AB56" s="208">
        <v>6832</v>
      </c>
      <c r="AC56" s="208"/>
      <c r="AD56" s="208">
        <v>6319</v>
      </c>
      <c r="AE56" s="207">
        <v>6699</v>
      </c>
      <c r="AF56" s="207"/>
      <c r="AG56" s="207">
        <v>6483</v>
      </c>
      <c r="AH56" s="207"/>
      <c r="AI56" s="207">
        <v>6584</v>
      </c>
      <c r="AJ56" s="207"/>
      <c r="AK56" s="207">
        <v>6557</v>
      </c>
      <c r="AL56" s="195"/>
      <c r="AM56" s="195"/>
      <c r="AN56" s="208">
        <v>6483</v>
      </c>
      <c r="AO56" s="208"/>
      <c r="AP56" s="208"/>
      <c r="AQ56" s="208"/>
      <c r="AR56" s="208">
        <v>6557</v>
      </c>
      <c r="AS56" s="561">
        <v>6853</v>
      </c>
      <c r="AT56" s="561"/>
      <c r="AU56" s="148">
        <v>6014</v>
      </c>
      <c r="AV56" s="148"/>
      <c r="AW56" s="148"/>
      <c r="AX56" s="148"/>
      <c r="AY56" s="148"/>
      <c r="AZ56"/>
    </row>
    <row r="57" spans="2:52" ht="15" x14ac:dyDescent="0.25">
      <c r="B57" s="45" t="s">
        <v>76</v>
      </c>
      <c r="C57" s="154">
        <v>7117</v>
      </c>
      <c r="D57" s="154"/>
      <c r="E57" s="154">
        <v>7075</v>
      </c>
      <c r="F57" s="154"/>
      <c r="G57" s="154">
        <v>6805</v>
      </c>
      <c r="H57" s="154"/>
      <c r="I57" s="154">
        <v>5876</v>
      </c>
      <c r="J57" s="173">
        <v>5844</v>
      </c>
      <c r="K57" s="173"/>
      <c r="L57" s="173">
        <v>6270</v>
      </c>
      <c r="M57" s="173"/>
      <c r="N57" s="173">
        <v>6372</v>
      </c>
      <c r="O57" s="173"/>
      <c r="P57" s="173">
        <v>6265</v>
      </c>
      <c r="Q57" s="154">
        <v>6294</v>
      </c>
      <c r="R57" s="154"/>
      <c r="S57" s="154">
        <v>6104</v>
      </c>
      <c r="T57" s="154"/>
      <c r="U57" s="154">
        <v>6210</v>
      </c>
      <c r="V57" s="154"/>
      <c r="W57" s="154">
        <v>6203</v>
      </c>
      <c r="X57" s="173">
        <v>6294</v>
      </c>
      <c r="Y57" s="173"/>
      <c r="Z57" s="173">
        <v>6104</v>
      </c>
      <c r="AA57" s="173"/>
      <c r="AB57" s="173">
        <v>6210</v>
      </c>
      <c r="AC57" s="173"/>
      <c r="AD57" s="173">
        <v>6203</v>
      </c>
      <c r="AE57" s="154">
        <v>6222</v>
      </c>
      <c r="AF57" s="154"/>
      <c r="AG57" s="154">
        <v>6280</v>
      </c>
      <c r="AH57" s="154"/>
      <c r="AI57" s="154">
        <v>6274</v>
      </c>
      <c r="AJ57" s="154"/>
      <c r="AK57" s="154">
        <v>6141</v>
      </c>
      <c r="AL57" s="195"/>
      <c r="AM57" s="195"/>
      <c r="AN57" s="173">
        <v>6280</v>
      </c>
      <c r="AO57" s="173"/>
      <c r="AP57" s="173"/>
      <c r="AQ57" s="173"/>
      <c r="AR57" s="173">
        <v>6141</v>
      </c>
      <c r="AS57" s="561">
        <v>6238</v>
      </c>
      <c r="AT57" s="561"/>
      <c r="AU57" s="146">
        <v>5716</v>
      </c>
      <c r="AV57" s="146"/>
      <c r="AW57" s="146"/>
      <c r="AX57" s="146"/>
      <c r="AY57" s="146"/>
      <c r="AZ57"/>
    </row>
    <row r="58" spans="2:52" ht="15" x14ac:dyDescent="0.25">
      <c r="B58" s="45" t="s">
        <v>79</v>
      </c>
      <c r="C58" s="154">
        <v>6603</v>
      </c>
      <c r="D58" s="154"/>
      <c r="E58" s="154">
        <v>6618</v>
      </c>
      <c r="F58" s="154"/>
      <c r="G58" s="154">
        <v>6338</v>
      </c>
      <c r="H58" s="154"/>
      <c r="I58" s="154">
        <v>5439</v>
      </c>
      <c r="J58" s="173">
        <v>5475</v>
      </c>
      <c r="K58" s="173"/>
      <c r="L58" s="173">
        <v>5922</v>
      </c>
      <c r="M58" s="173"/>
      <c r="N58" s="173">
        <v>6037</v>
      </c>
      <c r="O58" s="173"/>
      <c r="P58" s="173">
        <v>5955</v>
      </c>
      <c r="Q58" s="154">
        <v>5979</v>
      </c>
      <c r="R58" s="154"/>
      <c r="S58" s="154">
        <v>5817</v>
      </c>
      <c r="T58" s="154"/>
      <c r="U58" s="154">
        <v>5919</v>
      </c>
      <c r="V58" s="154"/>
      <c r="W58" s="154">
        <v>5915</v>
      </c>
      <c r="X58" s="173">
        <v>5979</v>
      </c>
      <c r="Y58" s="173"/>
      <c r="Z58" s="173">
        <v>5817</v>
      </c>
      <c r="AA58" s="173"/>
      <c r="AB58" s="173">
        <v>5919</v>
      </c>
      <c r="AC58" s="173"/>
      <c r="AD58" s="173">
        <v>5915</v>
      </c>
      <c r="AE58" s="154">
        <v>5931</v>
      </c>
      <c r="AF58" s="154"/>
      <c r="AG58" s="154">
        <v>6017</v>
      </c>
      <c r="AH58" s="154"/>
      <c r="AI58" s="154">
        <v>6004</v>
      </c>
      <c r="AJ58" s="154"/>
      <c r="AK58" s="154">
        <v>5886</v>
      </c>
      <c r="AL58" s="195"/>
      <c r="AM58" s="195"/>
      <c r="AN58" s="173">
        <v>6017</v>
      </c>
      <c r="AO58" s="173"/>
      <c r="AP58" s="173"/>
      <c r="AQ58" s="173"/>
      <c r="AR58" s="173">
        <v>5886</v>
      </c>
      <c r="AS58" s="561">
        <v>5977</v>
      </c>
      <c r="AT58" s="561"/>
      <c r="AU58" s="146">
        <v>5484</v>
      </c>
      <c r="AV58" s="146"/>
      <c r="AW58" s="146"/>
      <c r="AX58" s="146"/>
      <c r="AY58" s="146"/>
      <c r="AZ58"/>
    </row>
    <row r="59" spans="2:52" ht="15" x14ac:dyDescent="0.25">
      <c r="B59" s="45" t="s">
        <v>684</v>
      </c>
      <c r="C59" s="154">
        <v>1603</v>
      </c>
      <c r="D59" s="154"/>
      <c r="E59" s="154">
        <v>1679</v>
      </c>
      <c r="F59" s="154"/>
      <c r="G59" s="154">
        <v>1718</v>
      </c>
      <c r="H59" s="154"/>
      <c r="I59" s="154">
        <v>1147</v>
      </c>
      <c r="J59" s="173">
        <v>1141</v>
      </c>
      <c r="K59" s="173"/>
      <c r="L59" s="173">
        <v>1067</v>
      </c>
      <c r="M59" s="173"/>
      <c r="N59" s="173">
        <v>1206</v>
      </c>
      <c r="O59" s="173"/>
      <c r="P59" s="173">
        <v>1062</v>
      </c>
      <c r="Q59" s="154">
        <v>934</v>
      </c>
      <c r="R59" s="154"/>
      <c r="S59" s="154">
        <v>780</v>
      </c>
      <c r="T59" s="154"/>
      <c r="U59" s="154">
        <v>622</v>
      </c>
      <c r="V59" s="154"/>
      <c r="W59" s="154">
        <v>116</v>
      </c>
      <c r="X59" s="173">
        <v>934</v>
      </c>
      <c r="Y59" s="173"/>
      <c r="Z59" s="173">
        <v>780</v>
      </c>
      <c r="AA59" s="173"/>
      <c r="AB59" s="173">
        <v>622</v>
      </c>
      <c r="AC59" s="173"/>
      <c r="AD59" s="173">
        <v>116</v>
      </c>
      <c r="AE59" s="154">
        <v>477</v>
      </c>
      <c r="AF59" s="154"/>
      <c r="AG59" s="154">
        <v>203</v>
      </c>
      <c r="AH59" s="154"/>
      <c r="AI59" s="154">
        <v>310</v>
      </c>
      <c r="AJ59" s="154"/>
      <c r="AK59" s="154">
        <v>416</v>
      </c>
      <c r="AL59" s="195"/>
      <c r="AM59" s="195"/>
      <c r="AN59" s="173">
        <v>203</v>
      </c>
      <c r="AO59" s="173"/>
      <c r="AP59" s="173"/>
      <c r="AQ59" s="173"/>
      <c r="AR59" s="173">
        <v>416</v>
      </c>
      <c r="AS59" s="561">
        <v>615</v>
      </c>
      <c r="AT59" s="561"/>
      <c r="AU59" s="146">
        <v>298</v>
      </c>
      <c r="AV59" s="146"/>
      <c r="AW59" s="146"/>
      <c r="AX59" s="146"/>
      <c r="AY59" s="146"/>
      <c r="AZ59"/>
    </row>
    <row r="60" spans="2:52" ht="15" x14ac:dyDescent="0.25">
      <c r="B60" s="45" t="s">
        <v>77</v>
      </c>
      <c r="C60" s="575">
        <v>0.2252353519741464</v>
      </c>
      <c r="D60" s="575"/>
      <c r="E60" s="575">
        <v>0.23731448763250884</v>
      </c>
      <c r="F60" s="575"/>
      <c r="G60" s="575">
        <v>0.25246142542248345</v>
      </c>
      <c r="H60" s="575"/>
      <c r="I60" s="575">
        <v>0.19520081688223281</v>
      </c>
      <c r="J60" s="577">
        <v>0.19524298425735798</v>
      </c>
      <c r="K60" s="577"/>
      <c r="L60" s="577">
        <v>0.17017543859649123</v>
      </c>
      <c r="M60" s="577"/>
      <c r="N60" s="577">
        <v>0.18926553672316385</v>
      </c>
      <c r="O60" s="577"/>
      <c r="P60" s="577">
        <v>0.16951316839584996</v>
      </c>
      <c r="Q60" s="575">
        <v>0.14839529710835717</v>
      </c>
      <c r="R60" s="575"/>
      <c r="S60" s="575">
        <v>0.12778505897771952</v>
      </c>
      <c r="T60" s="575"/>
      <c r="U60" s="575">
        <v>0.1001610305958132</v>
      </c>
      <c r="V60" s="575"/>
      <c r="W60" s="575">
        <v>1.870062872803482E-2</v>
      </c>
      <c r="X60" s="577">
        <v>0.14839529710835717</v>
      </c>
      <c r="Y60" s="577"/>
      <c r="Z60" s="577">
        <v>0.12778505897771952</v>
      </c>
      <c r="AA60" s="577"/>
      <c r="AB60" s="577">
        <v>0.1001610305958132</v>
      </c>
      <c r="AC60" s="577"/>
      <c r="AD60" s="577">
        <v>1.870062872803482E-2</v>
      </c>
      <c r="AE60" s="575">
        <v>7.6663452266152357E-2</v>
      </c>
      <c r="AF60" s="575"/>
      <c r="AG60" s="575">
        <v>3.232484076433121E-2</v>
      </c>
      <c r="AH60" s="575"/>
      <c r="AI60" s="575">
        <v>4.941026458399745E-2</v>
      </c>
      <c r="AJ60" s="575"/>
      <c r="AK60" s="575">
        <v>6.7741410193779508E-2</v>
      </c>
      <c r="AL60" s="578"/>
      <c r="AM60" s="578"/>
      <c r="AN60" s="577">
        <f>+AN59/AN57</f>
        <v>3.232484076433121E-2</v>
      </c>
      <c r="AO60" s="577"/>
      <c r="AP60" s="577"/>
      <c r="AQ60" s="577"/>
      <c r="AR60" s="577">
        <f>+AR59/AR57</f>
        <v>6.7741410193779508E-2</v>
      </c>
      <c r="AS60" s="579">
        <v>9.8589291439563964E-2</v>
      </c>
      <c r="AT60" s="579"/>
      <c r="AU60" s="580">
        <f>+AU59/AU57</f>
        <v>5.2134359692092375E-2</v>
      </c>
      <c r="AV60" s="580"/>
      <c r="AW60" s="580"/>
      <c r="AX60" s="580"/>
      <c r="AY60" s="580"/>
      <c r="AZ60"/>
    </row>
    <row r="61" spans="2:52" ht="15.75" thickBot="1" x14ac:dyDescent="0.3">
      <c r="B61" s="204" t="s">
        <v>1033</v>
      </c>
      <c r="C61" s="209">
        <v>98</v>
      </c>
      <c r="D61" s="209"/>
      <c r="E61" s="209">
        <v>257</v>
      </c>
      <c r="F61" s="209"/>
      <c r="G61" s="209">
        <v>387</v>
      </c>
      <c r="H61" s="209"/>
      <c r="I61" s="209">
        <v>528</v>
      </c>
      <c r="J61" s="210">
        <v>95</v>
      </c>
      <c r="K61" s="210"/>
      <c r="L61" s="210">
        <v>187</v>
      </c>
      <c r="M61" s="210"/>
      <c r="N61" s="210">
        <v>217</v>
      </c>
      <c r="O61" s="210"/>
      <c r="P61" s="210">
        <v>405</v>
      </c>
      <c r="Q61" s="209">
        <v>108</v>
      </c>
      <c r="R61" s="209"/>
      <c r="S61" s="209">
        <v>195</v>
      </c>
      <c r="T61" s="209"/>
      <c r="U61" s="209">
        <v>228</v>
      </c>
      <c r="V61" s="209"/>
      <c r="W61" s="209">
        <v>457</v>
      </c>
      <c r="X61" s="210">
        <v>78</v>
      </c>
      <c r="Y61" s="210"/>
      <c r="Z61" s="210">
        <v>153</v>
      </c>
      <c r="AA61" s="210"/>
      <c r="AB61" s="210">
        <v>228</v>
      </c>
      <c r="AC61" s="210"/>
      <c r="AD61" s="210">
        <v>457</v>
      </c>
      <c r="AE61" s="209">
        <v>88</v>
      </c>
      <c r="AF61" s="209"/>
      <c r="AG61" s="209">
        <v>188</v>
      </c>
      <c r="AH61" s="209"/>
      <c r="AI61" s="209">
        <v>280</v>
      </c>
      <c r="AJ61" s="209"/>
      <c r="AK61" s="209">
        <v>447</v>
      </c>
      <c r="AL61" s="557"/>
      <c r="AM61" s="557"/>
      <c r="AN61" s="210">
        <v>188</v>
      </c>
      <c r="AO61" s="210"/>
      <c r="AP61" s="210"/>
      <c r="AQ61" s="210"/>
      <c r="AR61" s="210">
        <v>447</v>
      </c>
      <c r="AS61" s="562">
        <v>53</v>
      </c>
      <c r="AT61" s="562"/>
      <c r="AU61" s="174">
        <v>78</v>
      </c>
      <c r="AV61" s="174"/>
      <c r="AW61" s="174"/>
      <c r="AX61" s="174"/>
      <c r="AY61" s="174"/>
      <c r="AZ61"/>
    </row>
    <row r="62" spans="2:52" ht="15.75" thickBot="1" x14ac:dyDescent="0.3">
      <c r="B62" s="45"/>
      <c r="C62" s="154"/>
      <c r="D62" s="154"/>
      <c r="E62" s="154"/>
      <c r="F62" s="154"/>
      <c r="G62" s="154"/>
      <c r="H62" s="154"/>
      <c r="I62" s="154"/>
      <c r="J62" s="173"/>
      <c r="K62" s="173"/>
      <c r="L62" s="173"/>
      <c r="M62" s="173"/>
      <c r="N62" s="173"/>
      <c r="O62" s="173"/>
      <c r="P62" s="173"/>
      <c r="Q62" s="154"/>
      <c r="R62" s="154"/>
      <c r="S62" s="154"/>
      <c r="T62" s="154"/>
      <c r="U62" s="154"/>
      <c r="V62" s="154"/>
      <c r="W62" s="154"/>
      <c r="X62" s="173"/>
      <c r="Y62" s="173"/>
      <c r="Z62" s="173"/>
      <c r="AA62" s="173"/>
      <c r="AB62" s="173"/>
      <c r="AC62" s="173"/>
      <c r="AD62" s="173"/>
      <c r="AE62" s="154"/>
      <c r="AF62" s="154"/>
      <c r="AG62" s="154"/>
      <c r="AH62" s="154"/>
      <c r="AI62" s="154"/>
      <c r="AJ62" s="154"/>
      <c r="AK62" s="154"/>
      <c r="AL62" s="195"/>
      <c r="AM62" s="195"/>
      <c r="AN62" s="173"/>
      <c r="AO62" s="173"/>
      <c r="AP62" s="173"/>
      <c r="AQ62" s="173"/>
      <c r="AR62" s="173"/>
      <c r="AS62" s="195"/>
      <c r="AT62" s="195"/>
      <c r="AU62" s="146"/>
      <c r="AV62" s="146"/>
      <c r="AW62" s="146"/>
      <c r="AX62" s="146"/>
      <c r="AY62" s="146"/>
      <c r="AZ62"/>
    </row>
    <row r="63" spans="2:52" ht="15.75" thickBot="1" x14ac:dyDescent="0.3">
      <c r="B63" s="205" t="s">
        <v>78</v>
      </c>
      <c r="C63" s="211">
        <v>3103</v>
      </c>
      <c r="D63" s="211"/>
      <c r="E63" s="211">
        <v>3086</v>
      </c>
      <c r="F63" s="211"/>
      <c r="G63" s="211">
        <v>3071</v>
      </c>
      <c r="H63" s="211"/>
      <c r="I63" s="211">
        <v>3066</v>
      </c>
      <c r="J63" s="194">
        <v>2948</v>
      </c>
      <c r="K63" s="194"/>
      <c r="L63" s="194">
        <v>5047</v>
      </c>
      <c r="M63" s="194"/>
      <c r="N63" s="194">
        <v>4920</v>
      </c>
      <c r="O63" s="194"/>
      <c r="P63" s="194">
        <v>4949</v>
      </c>
      <c r="Q63" s="212"/>
      <c r="R63" s="211"/>
      <c r="S63" s="211">
        <v>5017</v>
      </c>
      <c r="T63" s="211"/>
      <c r="U63" s="212"/>
      <c r="V63" s="211"/>
      <c r="W63" s="211">
        <v>5144</v>
      </c>
      <c r="X63" s="212"/>
      <c r="Y63" s="194"/>
      <c r="Z63" s="194">
        <v>5017</v>
      </c>
      <c r="AA63" s="194"/>
      <c r="AB63" s="212"/>
      <c r="AC63" s="194"/>
      <c r="AD63" s="194">
        <v>5144</v>
      </c>
      <c r="AE63" s="212"/>
      <c r="AF63" s="211"/>
      <c r="AG63" s="211">
        <v>5251</v>
      </c>
      <c r="AH63" s="211"/>
      <c r="AI63" s="212"/>
      <c r="AJ63" s="211"/>
      <c r="AK63" s="211">
        <v>5372</v>
      </c>
      <c r="AL63" s="237"/>
      <c r="AM63" s="237"/>
      <c r="AN63" s="194">
        <v>5251</v>
      </c>
      <c r="AO63" s="194"/>
      <c r="AP63" s="194"/>
      <c r="AQ63" s="194"/>
      <c r="AR63" s="194">
        <v>5372</v>
      </c>
      <c r="AS63" s="237"/>
      <c r="AT63" s="237"/>
      <c r="AU63" s="555">
        <v>5425</v>
      </c>
      <c r="AV63" s="555"/>
      <c r="AW63" s="555"/>
      <c r="AX63" s="555"/>
      <c r="AY63" s="555"/>
      <c r="AZ63"/>
    </row>
    <row r="64" spans="2:52" x14ac:dyDescent="0.2">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row>
    <row r="65" spans="2:52" x14ac:dyDescent="0.2">
      <c r="C65" s="576"/>
    </row>
    <row r="66" spans="2:52" x14ac:dyDescent="0.2">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row>
    <row r="67" spans="2:52" ht="21" thickBot="1" x14ac:dyDescent="0.35">
      <c r="B67" s="189" t="s">
        <v>777</v>
      </c>
      <c r="C67" s="172"/>
      <c r="D67" s="172"/>
      <c r="E67" s="172"/>
      <c r="F67" s="172">
        <v>2015</v>
      </c>
      <c r="G67" s="172"/>
      <c r="H67" s="172"/>
      <c r="I67" s="78"/>
      <c r="J67" s="172"/>
      <c r="K67" s="172"/>
      <c r="L67" s="172"/>
      <c r="M67" s="172" t="s">
        <v>962</v>
      </c>
      <c r="N67" s="172"/>
      <c r="O67" s="172"/>
      <c r="P67" s="78"/>
      <c r="Q67" s="172"/>
      <c r="R67" s="172"/>
      <c r="S67" s="172"/>
      <c r="T67" s="172">
        <v>2017</v>
      </c>
      <c r="U67" s="172"/>
      <c r="V67" s="172"/>
      <c r="W67" s="78"/>
      <c r="X67" s="172"/>
      <c r="Y67" s="172"/>
      <c r="Z67" s="172"/>
      <c r="AA67" s="172" t="s">
        <v>779</v>
      </c>
      <c r="AB67" s="172"/>
      <c r="AC67" s="172"/>
      <c r="AD67" s="78"/>
      <c r="AE67" s="172"/>
      <c r="AF67" s="172"/>
      <c r="AG67" s="172"/>
      <c r="AH67" s="172" t="s">
        <v>963</v>
      </c>
      <c r="AI67" s="172"/>
      <c r="AJ67" s="172"/>
      <c r="AK67" s="78"/>
      <c r="AL67" s="78"/>
      <c r="AM67" s="78"/>
      <c r="AN67" s="78"/>
      <c r="AO67" s="554" t="s">
        <v>1037</v>
      </c>
      <c r="AP67" s="78"/>
      <c r="AQ67" s="78"/>
      <c r="AR67" s="78"/>
      <c r="AS67" s="172"/>
      <c r="AT67" s="172"/>
      <c r="AU67" s="172"/>
      <c r="AV67" s="535" t="s">
        <v>964</v>
      </c>
      <c r="AW67" s="535"/>
      <c r="AX67" s="535"/>
      <c r="AY67" s="535"/>
      <c r="AZ67" s="45"/>
    </row>
    <row r="68" spans="2:52" ht="15" thickBot="1" x14ac:dyDescent="0.25">
      <c r="B68" s="114" t="s">
        <v>740</v>
      </c>
      <c r="C68" s="225" t="s">
        <v>621</v>
      </c>
      <c r="D68" s="225" t="s">
        <v>622</v>
      </c>
      <c r="E68" s="225" t="s">
        <v>623</v>
      </c>
      <c r="F68" s="225" t="s">
        <v>624</v>
      </c>
      <c r="G68" s="225" t="s">
        <v>81</v>
      </c>
      <c r="H68" s="225" t="s">
        <v>625</v>
      </c>
      <c r="I68" s="225" t="s">
        <v>82</v>
      </c>
      <c r="J68" s="73" t="s">
        <v>621</v>
      </c>
      <c r="K68" s="73" t="s">
        <v>622</v>
      </c>
      <c r="L68" s="73" t="s">
        <v>623</v>
      </c>
      <c r="M68" s="73" t="s">
        <v>624</v>
      </c>
      <c r="N68" s="73" t="s">
        <v>81</v>
      </c>
      <c r="O68" s="73" t="s">
        <v>625</v>
      </c>
      <c r="P68" s="192" t="s">
        <v>775</v>
      </c>
      <c r="Q68" s="225" t="s">
        <v>621</v>
      </c>
      <c r="R68" s="225" t="s">
        <v>622</v>
      </c>
      <c r="S68" s="225" t="s">
        <v>623</v>
      </c>
      <c r="T68" s="225" t="s">
        <v>624</v>
      </c>
      <c r="U68" s="225" t="s">
        <v>81</v>
      </c>
      <c r="V68" s="225" t="s">
        <v>625</v>
      </c>
      <c r="W68" s="225" t="s">
        <v>82</v>
      </c>
      <c r="X68" s="73" t="s">
        <v>621</v>
      </c>
      <c r="Y68" s="73" t="s">
        <v>622</v>
      </c>
      <c r="Z68" s="73" t="s">
        <v>623</v>
      </c>
      <c r="AA68" s="73" t="s">
        <v>624</v>
      </c>
      <c r="AB68" s="73" t="s">
        <v>81</v>
      </c>
      <c r="AC68" s="73" t="s">
        <v>625</v>
      </c>
      <c r="AD68" s="73" t="s">
        <v>82</v>
      </c>
      <c r="AE68" s="225" t="s">
        <v>621</v>
      </c>
      <c r="AF68" s="225" t="s">
        <v>622</v>
      </c>
      <c r="AG68" s="225" t="s">
        <v>623</v>
      </c>
      <c r="AH68" s="225" t="s">
        <v>624</v>
      </c>
      <c r="AI68" s="225" t="s">
        <v>81</v>
      </c>
      <c r="AJ68" s="225" t="s">
        <v>625</v>
      </c>
      <c r="AK68" s="225" t="s">
        <v>82</v>
      </c>
      <c r="AL68" s="73" t="s">
        <v>621</v>
      </c>
      <c r="AM68" s="73" t="s">
        <v>622</v>
      </c>
      <c r="AN68" s="73" t="s">
        <v>623</v>
      </c>
      <c r="AO68" s="73" t="s">
        <v>624</v>
      </c>
      <c r="AP68" s="73" t="s">
        <v>81</v>
      </c>
      <c r="AQ68" s="73" t="s">
        <v>625</v>
      </c>
      <c r="AR68" s="73" t="s">
        <v>82</v>
      </c>
      <c r="AS68" s="82" t="s">
        <v>621</v>
      </c>
      <c r="AT68" s="82" t="s">
        <v>622</v>
      </c>
      <c r="AU68" s="82" t="s">
        <v>623</v>
      </c>
      <c r="AV68" s="82" t="s">
        <v>624</v>
      </c>
      <c r="AW68" s="82" t="s">
        <v>81</v>
      </c>
      <c r="AX68" s="82" t="s">
        <v>625</v>
      </c>
      <c r="AY68" s="82" t="s">
        <v>82</v>
      </c>
      <c r="AZ68" s="45"/>
    </row>
    <row r="69" spans="2:52" x14ac:dyDescent="0.2">
      <c r="B69" s="200"/>
      <c r="C69" s="226"/>
      <c r="D69" s="226"/>
      <c r="E69" s="226"/>
      <c r="F69" s="226"/>
      <c r="G69" s="226"/>
      <c r="H69" s="226"/>
      <c r="I69" s="226"/>
      <c r="J69" s="142"/>
      <c r="K69" s="142"/>
      <c r="L69" s="142"/>
      <c r="M69" s="142"/>
      <c r="N69" s="142"/>
      <c r="O69" s="142"/>
      <c r="P69" s="206"/>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45"/>
    </row>
    <row r="70" spans="2:52" ht="15" x14ac:dyDescent="0.25">
      <c r="B70" s="231" t="s">
        <v>101</v>
      </c>
      <c r="C70" s="45"/>
      <c r="D70" s="45"/>
      <c r="E70" s="45"/>
      <c r="F70" s="45"/>
      <c r="G70" s="45"/>
      <c r="H70" s="45"/>
      <c r="I70" s="45"/>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45"/>
    </row>
    <row r="71" spans="2:52" ht="15" thickBot="1" x14ac:dyDescent="0.25">
      <c r="C71" s="45"/>
      <c r="D71" s="45"/>
      <c r="E71" s="45"/>
      <c r="F71" s="45"/>
      <c r="G71" s="45"/>
      <c r="H71" s="45"/>
      <c r="I71" s="45"/>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45"/>
    </row>
    <row r="72" spans="2:52" ht="15" thickBot="1" x14ac:dyDescent="0.25">
      <c r="B72" s="64" t="s">
        <v>83</v>
      </c>
      <c r="C72" s="153">
        <v>1703</v>
      </c>
      <c r="D72" s="153">
        <f>E72-C72</f>
        <v>1581</v>
      </c>
      <c r="E72" s="153">
        <v>3284</v>
      </c>
      <c r="F72" s="153">
        <f>G72-E72</f>
        <v>1713</v>
      </c>
      <c r="G72" s="153">
        <v>4997</v>
      </c>
      <c r="H72" s="153">
        <f>I72-G72</f>
        <v>1532</v>
      </c>
      <c r="I72" s="153">
        <v>6529</v>
      </c>
      <c r="J72" s="175">
        <v>1361</v>
      </c>
      <c r="K72" s="175">
        <f>L72-J72</f>
        <v>1289</v>
      </c>
      <c r="L72" s="175">
        <v>2650</v>
      </c>
      <c r="M72" s="175">
        <f>N72-L72</f>
        <v>1413</v>
      </c>
      <c r="N72" s="175">
        <v>4063</v>
      </c>
      <c r="O72" s="175">
        <f>P72-N72</f>
        <v>1619</v>
      </c>
      <c r="P72" s="175">
        <v>5682</v>
      </c>
      <c r="Q72" s="153">
        <v>1387</v>
      </c>
      <c r="R72" s="153">
        <f>S72-Q72</f>
        <v>1157</v>
      </c>
      <c r="S72" s="153">
        <v>2544</v>
      </c>
      <c r="T72" s="153">
        <f>U72-S72</f>
        <v>1317</v>
      </c>
      <c r="U72" s="153">
        <v>3861</v>
      </c>
      <c r="V72" s="153">
        <f>W72-U72</f>
        <v>1266</v>
      </c>
      <c r="W72" s="153">
        <v>5127</v>
      </c>
      <c r="X72" s="175">
        <v>1295</v>
      </c>
      <c r="Y72" s="175">
        <f>Z72-X72</f>
        <v>658</v>
      </c>
      <c r="Z72" s="175">
        <v>1953</v>
      </c>
      <c r="AA72" s="175">
        <f>AB72-Z72</f>
        <v>1046</v>
      </c>
      <c r="AB72" s="175">
        <v>2999</v>
      </c>
      <c r="AC72" s="175">
        <f>AD72-AB72</f>
        <v>971</v>
      </c>
      <c r="AD72" s="175">
        <v>3970</v>
      </c>
      <c r="AE72" s="153">
        <v>949</v>
      </c>
      <c r="AF72" s="153">
        <f>AG72-AE72</f>
        <v>874</v>
      </c>
      <c r="AG72" s="153">
        <v>1823</v>
      </c>
      <c r="AH72" s="153">
        <f>AI72-AG72</f>
        <v>919</v>
      </c>
      <c r="AI72" s="153">
        <v>2742</v>
      </c>
      <c r="AJ72" s="153">
        <f>AK72-AI72</f>
        <v>1026</v>
      </c>
      <c r="AK72" s="153">
        <v>3768</v>
      </c>
      <c r="AL72" s="237"/>
      <c r="AM72" s="237"/>
      <c r="AN72" s="175">
        <v>1823</v>
      </c>
      <c r="AO72" s="175"/>
      <c r="AP72" s="175"/>
      <c r="AQ72" s="175"/>
      <c r="AR72" s="175">
        <v>3768</v>
      </c>
      <c r="AS72" s="237">
        <v>1068</v>
      </c>
      <c r="AT72" s="237"/>
      <c r="AU72" s="120">
        <v>2071</v>
      </c>
      <c r="AV72" s="120"/>
      <c r="AW72" s="120"/>
      <c r="AX72" s="120"/>
      <c r="AY72" s="120"/>
      <c r="AZ72" s="45"/>
    </row>
    <row r="73" spans="2:52" ht="15" thickBot="1" x14ac:dyDescent="0.25">
      <c r="B73" s="214"/>
      <c r="C73" s="207"/>
      <c r="D73" s="207"/>
      <c r="E73" s="207"/>
      <c r="F73" s="207"/>
      <c r="G73" s="207"/>
      <c r="H73" s="207"/>
      <c r="I73" s="207"/>
      <c r="J73" s="208"/>
      <c r="K73" s="208"/>
      <c r="L73" s="208"/>
      <c r="M73" s="208"/>
      <c r="N73" s="208"/>
      <c r="O73" s="208"/>
      <c r="P73" s="208"/>
      <c r="Q73" s="207"/>
      <c r="R73" s="207"/>
      <c r="S73" s="207"/>
      <c r="T73" s="207"/>
      <c r="U73" s="207"/>
      <c r="V73" s="207"/>
      <c r="W73" s="207"/>
      <c r="X73" s="208"/>
      <c r="Y73" s="208"/>
      <c r="Z73" s="208"/>
      <c r="AA73" s="208"/>
      <c r="AB73" s="208"/>
      <c r="AC73" s="208"/>
      <c r="AD73" s="208"/>
      <c r="AE73" s="207"/>
      <c r="AF73" s="207"/>
      <c r="AG73" s="207"/>
      <c r="AH73" s="207"/>
      <c r="AI73" s="207"/>
      <c r="AJ73" s="207"/>
      <c r="AK73" s="207"/>
      <c r="AL73" s="195"/>
      <c r="AM73" s="195"/>
      <c r="AN73" s="208"/>
      <c r="AO73" s="208"/>
      <c r="AP73" s="208"/>
      <c r="AQ73" s="208"/>
      <c r="AR73" s="208"/>
      <c r="AS73" s="195"/>
      <c r="AT73" s="195"/>
      <c r="AU73" s="148"/>
      <c r="AV73" s="148"/>
      <c r="AW73" s="148"/>
      <c r="AX73" s="148"/>
      <c r="AY73" s="148"/>
      <c r="AZ73" s="45"/>
    </row>
    <row r="74" spans="2:52" x14ac:dyDescent="0.2">
      <c r="B74" s="214" t="s">
        <v>966</v>
      </c>
      <c r="C74" s="227">
        <v>109</v>
      </c>
      <c r="D74" s="227">
        <f>E74-C74</f>
        <v>99</v>
      </c>
      <c r="E74" s="227">
        <v>208</v>
      </c>
      <c r="F74" s="227">
        <f>G74-E74</f>
        <v>79</v>
      </c>
      <c r="G74" s="227">
        <v>287</v>
      </c>
      <c r="H74" s="234">
        <f>I74-G74</f>
        <v>-11</v>
      </c>
      <c r="I74" s="227">
        <v>276</v>
      </c>
      <c r="J74" s="219">
        <v>43</v>
      </c>
      <c r="K74" s="219">
        <f>L74-J74</f>
        <v>79</v>
      </c>
      <c r="L74" s="219">
        <v>122</v>
      </c>
      <c r="M74" s="219">
        <f>N74-L74</f>
        <v>60</v>
      </c>
      <c r="N74" s="219">
        <v>182</v>
      </c>
      <c r="O74" s="219">
        <f>P74-N74</f>
        <v>60</v>
      </c>
      <c r="P74" s="219">
        <v>242</v>
      </c>
      <c r="Q74" s="227">
        <v>68</v>
      </c>
      <c r="R74" s="227">
        <f>S74-Q74</f>
        <v>63</v>
      </c>
      <c r="S74" s="227">
        <v>131</v>
      </c>
      <c r="T74" s="227">
        <f>U74-S74</f>
        <v>101</v>
      </c>
      <c r="U74" s="227">
        <v>232</v>
      </c>
      <c r="V74" s="227">
        <f>W74-U74</f>
        <v>33</v>
      </c>
      <c r="W74" s="227">
        <v>265</v>
      </c>
      <c r="X74" s="219">
        <v>68</v>
      </c>
      <c r="Y74" s="219">
        <f>Z74-X74</f>
        <v>63</v>
      </c>
      <c r="Z74" s="219">
        <v>131</v>
      </c>
      <c r="AA74" s="219">
        <f>AB74-Z74</f>
        <v>101</v>
      </c>
      <c r="AB74" s="219">
        <v>232</v>
      </c>
      <c r="AC74" s="219">
        <f>AD74-AB74</f>
        <v>33</v>
      </c>
      <c r="AD74" s="219">
        <v>265</v>
      </c>
      <c r="AE74" s="224"/>
      <c r="AF74" s="224"/>
      <c r="AG74" s="224"/>
      <c r="AH74" s="224"/>
      <c r="AI74" s="224"/>
      <c r="AJ74" s="224"/>
      <c r="AK74" s="224"/>
      <c r="AL74" s="559"/>
      <c r="AM74" s="559"/>
      <c r="AN74" s="224"/>
      <c r="AO74" s="224"/>
      <c r="AP74" s="224"/>
      <c r="AQ74" s="224"/>
      <c r="AR74" s="224"/>
      <c r="AS74" s="559"/>
      <c r="AT74" s="559"/>
      <c r="AU74" s="177"/>
      <c r="AV74" s="177"/>
      <c r="AW74" s="177"/>
      <c r="AX74" s="177"/>
      <c r="AY74" s="177"/>
      <c r="AZ74" s="45"/>
    </row>
    <row r="75" spans="2:52" ht="15" thickBot="1" x14ac:dyDescent="0.25">
      <c r="B75" s="215" t="s">
        <v>84</v>
      </c>
      <c r="C75" s="228">
        <v>95</v>
      </c>
      <c r="D75" s="228">
        <f>E75-C75</f>
        <v>108</v>
      </c>
      <c r="E75" s="228">
        <v>203</v>
      </c>
      <c r="F75" s="228">
        <f>G75-E75</f>
        <v>122</v>
      </c>
      <c r="G75" s="228">
        <v>325</v>
      </c>
      <c r="H75" s="228">
        <f>I75-G75</f>
        <v>35</v>
      </c>
      <c r="I75" s="228">
        <v>360</v>
      </c>
      <c r="J75" s="218">
        <v>71</v>
      </c>
      <c r="K75" s="218">
        <f>L75-J75</f>
        <v>118</v>
      </c>
      <c r="L75" s="218">
        <v>189</v>
      </c>
      <c r="M75" s="218">
        <f>N75-L75</f>
        <v>100</v>
      </c>
      <c r="N75" s="218">
        <v>289</v>
      </c>
      <c r="O75" s="218">
        <f>P75-N75</f>
        <v>97</v>
      </c>
      <c r="P75" s="218">
        <v>386</v>
      </c>
      <c r="Q75" s="228">
        <v>74</v>
      </c>
      <c r="R75" s="228">
        <f>S75-Q75</f>
        <v>68</v>
      </c>
      <c r="S75" s="228">
        <v>142</v>
      </c>
      <c r="T75" s="228">
        <f>U75-S75</f>
        <v>108</v>
      </c>
      <c r="U75" s="228">
        <v>250</v>
      </c>
      <c r="V75" s="228">
        <f>W75-U75</f>
        <v>39</v>
      </c>
      <c r="W75" s="228">
        <v>289</v>
      </c>
      <c r="X75" s="218">
        <v>74</v>
      </c>
      <c r="Y75" s="218">
        <f>Z75-X75</f>
        <v>68</v>
      </c>
      <c r="Z75" s="218">
        <v>142</v>
      </c>
      <c r="AA75" s="218">
        <f>AB75-Z75</f>
        <v>108</v>
      </c>
      <c r="AB75" s="218">
        <v>250</v>
      </c>
      <c r="AC75" s="218">
        <f>AD75-AB75</f>
        <v>39</v>
      </c>
      <c r="AD75" s="218">
        <v>289</v>
      </c>
      <c r="AE75" s="228">
        <v>93</v>
      </c>
      <c r="AF75" s="228">
        <f>AG75-AE75</f>
        <v>89</v>
      </c>
      <c r="AG75" s="228">
        <v>182</v>
      </c>
      <c r="AH75" s="228">
        <f>AI75-AG75</f>
        <v>71</v>
      </c>
      <c r="AI75" s="228">
        <v>253</v>
      </c>
      <c r="AJ75" s="228">
        <f>AK75-AI75</f>
        <v>75</v>
      </c>
      <c r="AK75" s="228">
        <v>328</v>
      </c>
      <c r="AL75" s="557"/>
      <c r="AM75" s="557"/>
      <c r="AN75" s="218">
        <v>182</v>
      </c>
      <c r="AO75" s="218"/>
      <c r="AP75" s="218"/>
      <c r="AQ75" s="218"/>
      <c r="AR75" s="218">
        <v>328</v>
      </c>
      <c r="AS75" s="562">
        <v>118</v>
      </c>
      <c r="AT75" s="557"/>
      <c r="AU75" s="178">
        <v>233</v>
      </c>
      <c r="AV75" s="178"/>
      <c r="AW75" s="178"/>
      <c r="AX75" s="178"/>
      <c r="AY75" s="178"/>
      <c r="AZ75" s="45"/>
    </row>
    <row r="76" spans="2:52" x14ac:dyDescent="0.2">
      <c r="B76" s="191"/>
      <c r="C76" s="154"/>
      <c r="D76" s="154"/>
      <c r="E76" s="154"/>
      <c r="F76" s="154"/>
      <c r="G76" s="154"/>
      <c r="H76" s="154"/>
      <c r="I76" s="154"/>
      <c r="J76" s="173"/>
      <c r="K76" s="173"/>
      <c r="L76" s="173"/>
      <c r="M76" s="173"/>
      <c r="N76" s="173"/>
      <c r="O76" s="173"/>
      <c r="P76" s="173"/>
      <c r="Q76" s="154"/>
      <c r="R76" s="154"/>
      <c r="S76" s="154"/>
      <c r="T76" s="154"/>
      <c r="U76" s="154"/>
      <c r="V76" s="154"/>
      <c r="W76" s="154"/>
      <c r="X76" s="173"/>
      <c r="Y76" s="173"/>
      <c r="Z76" s="173"/>
      <c r="AA76" s="173"/>
      <c r="AB76" s="173"/>
      <c r="AC76" s="173"/>
      <c r="AD76" s="173"/>
      <c r="AE76" s="154"/>
      <c r="AF76" s="154"/>
      <c r="AG76" s="154"/>
      <c r="AH76" s="154"/>
      <c r="AI76" s="154"/>
      <c r="AJ76" s="154"/>
      <c r="AK76" s="154"/>
      <c r="AL76" s="195"/>
      <c r="AM76" s="195"/>
      <c r="AN76" s="173"/>
      <c r="AO76" s="173"/>
      <c r="AP76" s="173"/>
      <c r="AQ76" s="173"/>
      <c r="AR76" s="195"/>
      <c r="AS76" s="195"/>
      <c r="AT76" s="195"/>
      <c r="AU76" s="146"/>
      <c r="AV76" s="146"/>
      <c r="AW76" s="146"/>
      <c r="AX76" s="146"/>
      <c r="AY76" s="146"/>
      <c r="AZ76" s="45"/>
    </row>
    <row r="77" spans="2:52" x14ac:dyDescent="0.2">
      <c r="B77" s="80" t="s">
        <v>27</v>
      </c>
      <c r="C77" s="154">
        <v>4</v>
      </c>
      <c r="D77" s="154">
        <f>E77-C77</f>
        <v>2</v>
      </c>
      <c r="E77" s="154">
        <v>6</v>
      </c>
      <c r="F77" s="154">
        <f>G77-E77</f>
        <v>1</v>
      </c>
      <c r="G77" s="154">
        <v>7</v>
      </c>
      <c r="H77" s="155">
        <f>I77-G77</f>
        <v>-23</v>
      </c>
      <c r="I77" s="155">
        <v>-16</v>
      </c>
      <c r="J77" s="196">
        <v>-2</v>
      </c>
      <c r="K77" s="173">
        <f>L77-J77</f>
        <v>2</v>
      </c>
      <c r="L77" s="173">
        <v>0</v>
      </c>
      <c r="M77" s="173">
        <f>N77-L77</f>
        <v>5</v>
      </c>
      <c r="N77" s="173">
        <v>5</v>
      </c>
      <c r="O77" s="173">
        <f>P77-N77</f>
        <v>6</v>
      </c>
      <c r="P77" s="173">
        <v>11</v>
      </c>
      <c r="Q77" s="220"/>
      <c r="R77" s="220"/>
      <c r="S77" s="154">
        <v>5</v>
      </c>
      <c r="T77" s="220"/>
      <c r="U77" s="220"/>
      <c r="V77" s="220"/>
      <c r="W77" s="154">
        <v>4</v>
      </c>
      <c r="X77" s="465"/>
      <c r="Y77" s="465"/>
      <c r="Z77" s="173">
        <v>5</v>
      </c>
      <c r="AA77" s="465"/>
      <c r="AB77" s="465"/>
      <c r="AC77" s="465"/>
      <c r="AD77" s="173">
        <v>4</v>
      </c>
      <c r="AE77" s="220"/>
      <c r="AF77" s="220"/>
      <c r="AG77" s="154">
        <v>0</v>
      </c>
      <c r="AH77" s="220"/>
      <c r="AI77" s="220"/>
      <c r="AJ77" s="220"/>
      <c r="AK77" s="154">
        <v>1</v>
      </c>
      <c r="AL77" s="195"/>
      <c r="AM77" s="195"/>
      <c r="AN77" s="173"/>
      <c r="AO77" s="173"/>
      <c r="AP77" s="173"/>
      <c r="AQ77" s="173"/>
      <c r="AR77" s="195"/>
      <c r="AS77" s="195"/>
      <c r="AT77" s="195"/>
      <c r="AU77" s="146">
        <v>2</v>
      </c>
      <c r="AV77" s="146"/>
      <c r="AW77" s="146"/>
      <c r="AX77" s="146"/>
      <c r="AY77" s="146"/>
      <c r="AZ77" s="45"/>
    </row>
    <row r="78" spans="2:52" x14ac:dyDescent="0.2">
      <c r="B78" s="80" t="s">
        <v>42</v>
      </c>
      <c r="C78" s="155">
        <v>-58</v>
      </c>
      <c r="D78" s="155">
        <f>E78-C78</f>
        <v>-57</v>
      </c>
      <c r="E78" s="155">
        <v>-115</v>
      </c>
      <c r="F78" s="155">
        <f>G78-E78</f>
        <v>-59</v>
      </c>
      <c r="G78" s="155">
        <v>-174</v>
      </c>
      <c r="H78" s="155">
        <f>I78-G78</f>
        <v>-78</v>
      </c>
      <c r="I78" s="155">
        <f>-1321-I79</f>
        <v>-252</v>
      </c>
      <c r="J78" s="196">
        <v>-43</v>
      </c>
      <c r="K78" s="196">
        <f>L78-J78</f>
        <v>-59</v>
      </c>
      <c r="L78" s="196">
        <v>-102</v>
      </c>
      <c r="M78" s="196">
        <f>N78-L78</f>
        <v>-53</v>
      </c>
      <c r="N78" s="196">
        <v>-155</v>
      </c>
      <c r="O78" s="196">
        <f>P78-N78</f>
        <v>-56</v>
      </c>
      <c r="P78" s="196">
        <v>-211</v>
      </c>
      <c r="Q78" s="155">
        <v>-56</v>
      </c>
      <c r="R78" s="155">
        <f>S78-Q78</f>
        <v>-57</v>
      </c>
      <c r="S78" s="155">
        <v>-113</v>
      </c>
      <c r="T78" s="220"/>
      <c r="U78" s="220"/>
      <c r="V78" s="220"/>
      <c r="W78" s="155">
        <v>-226</v>
      </c>
      <c r="X78" s="465"/>
      <c r="Y78" s="465"/>
      <c r="Z78" s="196">
        <v>-113</v>
      </c>
      <c r="AA78" s="465"/>
      <c r="AB78" s="465"/>
      <c r="AC78" s="465"/>
      <c r="AD78" s="196">
        <v>-226</v>
      </c>
      <c r="AE78" s="155">
        <f>-55-2</f>
        <v>-57</v>
      </c>
      <c r="AF78" s="155">
        <f>AG78-AE78</f>
        <v>-51</v>
      </c>
      <c r="AG78" s="155">
        <v>-108</v>
      </c>
      <c r="AH78" s="149"/>
      <c r="AI78" s="220"/>
      <c r="AJ78" s="220"/>
      <c r="AK78" s="155">
        <f>-232</f>
        <v>-232</v>
      </c>
      <c r="AL78" s="195"/>
      <c r="AM78" s="195"/>
      <c r="AN78" s="196">
        <v>-110</v>
      </c>
      <c r="AO78" s="196"/>
      <c r="AP78" s="196"/>
      <c r="AQ78" s="196"/>
      <c r="AR78" s="195"/>
      <c r="AS78" s="195">
        <f>-57-4</f>
        <v>-61</v>
      </c>
      <c r="AT78" s="195"/>
      <c r="AU78" s="146">
        <v>-130</v>
      </c>
      <c r="AV78" s="146"/>
      <c r="AW78" s="146"/>
      <c r="AX78" s="146"/>
      <c r="AY78" s="146"/>
      <c r="AZ78" s="45"/>
    </row>
    <row r="79" spans="2:52" x14ac:dyDescent="0.2">
      <c r="B79" s="80" t="s">
        <v>847</v>
      </c>
      <c r="C79" s="155">
        <v>0</v>
      </c>
      <c r="D79" s="155">
        <f>E79-C79</f>
        <v>0</v>
      </c>
      <c r="E79" s="155">
        <v>0</v>
      </c>
      <c r="F79" s="155">
        <f>G79-E79</f>
        <v>0</v>
      </c>
      <c r="G79" s="155">
        <v>0</v>
      </c>
      <c r="H79" s="155">
        <f>I79-G79</f>
        <v>-1069</v>
      </c>
      <c r="I79" s="155">
        <f>-412-657</f>
        <v>-1069</v>
      </c>
      <c r="J79" s="196">
        <v>0</v>
      </c>
      <c r="K79" s="196">
        <f>L79-J79</f>
        <v>0</v>
      </c>
      <c r="L79" s="196">
        <v>0</v>
      </c>
      <c r="M79" s="196">
        <f>N79-L79</f>
        <v>0</v>
      </c>
      <c r="N79" s="196">
        <v>0</v>
      </c>
      <c r="O79" s="196">
        <f>P79-N79</f>
        <v>-2</v>
      </c>
      <c r="P79" s="196">
        <v>-2</v>
      </c>
      <c r="Q79" s="155"/>
      <c r="R79" s="155"/>
      <c r="S79" s="155">
        <v>0</v>
      </c>
      <c r="T79" s="220"/>
      <c r="U79" s="220"/>
      <c r="V79" s="220"/>
      <c r="W79" s="155">
        <v>-49</v>
      </c>
      <c r="X79" s="465"/>
      <c r="Y79" s="465"/>
      <c r="Z79" s="196">
        <v>0</v>
      </c>
      <c r="AA79" s="465"/>
      <c r="AB79" s="465"/>
      <c r="AC79" s="465"/>
      <c r="AD79" s="196">
        <v>-49</v>
      </c>
      <c r="AE79" s="155"/>
      <c r="AF79" s="155"/>
      <c r="AG79" s="155">
        <v>-2</v>
      </c>
      <c r="AH79" s="149"/>
      <c r="AI79" s="220"/>
      <c r="AJ79" s="220"/>
      <c r="AK79" s="155">
        <v>-1</v>
      </c>
      <c r="AL79" s="195"/>
      <c r="AM79" s="195"/>
      <c r="AN79" s="196"/>
      <c r="AO79" s="196"/>
      <c r="AP79" s="196"/>
      <c r="AQ79" s="196"/>
      <c r="AR79" s="195"/>
      <c r="AS79" s="195"/>
      <c r="AT79" s="195"/>
      <c r="AU79" s="146"/>
      <c r="AV79" s="146"/>
      <c r="AW79" s="146"/>
      <c r="AX79" s="146"/>
      <c r="AY79" s="146"/>
      <c r="AZ79" s="45"/>
    </row>
    <row r="80" spans="2:52" ht="15" thickBot="1" x14ac:dyDescent="0.25">
      <c r="B80" s="80"/>
      <c r="C80" s="154"/>
      <c r="D80" s="154"/>
      <c r="E80" s="154"/>
      <c r="F80" s="154"/>
      <c r="G80" s="154"/>
      <c r="H80" s="154"/>
      <c r="I80" s="154"/>
      <c r="J80" s="173"/>
      <c r="K80" s="173"/>
      <c r="L80" s="173"/>
      <c r="M80" s="173"/>
      <c r="N80" s="173"/>
      <c r="O80" s="173"/>
      <c r="P80" s="173"/>
      <c r="Q80" s="229"/>
      <c r="R80" s="229"/>
      <c r="S80" s="154"/>
      <c r="T80" s="229"/>
      <c r="U80" s="229"/>
      <c r="V80" s="229"/>
      <c r="W80" s="154"/>
      <c r="X80" s="216"/>
      <c r="Y80" s="216"/>
      <c r="Z80" s="173"/>
      <c r="AA80" s="216"/>
      <c r="AB80" s="216"/>
      <c r="AC80" s="216"/>
      <c r="AD80" s="173"/>
      <c r="AE80" s="154"/>
      <c r="AF80" s="154"/>
      <c r="AG80" s="154"/>
      <c r="AH80" s="154"/>
      <c r="AI80" s="229"/>
      <c r="AJ80" s="229"/>
      <c r="AK80" s="154"/>
      <c r="AL80" s="195"/>
      <c r="AM80" s="195"/>
      <c r="AN80" s="173"/>
      <c r="AO80" s="173"/>
      <c r="AP80" s="173"/>
      <c r="AQ80" s="173"/>
      <c r="AR80" s="195"/>
      <c r="AS80" s="195"/>
      <c r="AT80" s="195"/>
      <c r="AU80" s="146"/>
      <c r="AV80" s="146"/>
      <c r="AW80" s="146"/>
      <c r="AX80" s="146"/>
      <c r="AY80" s="146"/>
      <c r="AZ80" s="45"/>
    </row>
    <row r="81" spans="2:52" ht="15" thickBot="1" x14ac:dyDescent="0.25">
      <c r="B81" s="81" t="s">
        <v>44</v>
      </c>
      <c r="C81" s="153">
        <v>41</v>
      </c>
      <c r="D81" s="153">
        <f>E81-C81</f>
        <v>53</v>
      </c>
      <c r="E81" s="153">
        <v>94</v>
      </c>
      <c r="F81" s="153">
        <f>G81-E81</f>
        <v>64</v>
      </c>
      <c r="G81" s="153">
        <v>158</v>
      </c>
      <c r="H81" s="156">
        <f>I81-G81</f>
        <v>-1135</v>
      </c>
      <c r="I81" s="156">
        <v>-977</v>
      </c>
      <c r="J81" s="175">
        <v>26</v>
      </c>
      <c r="K81" s="175">
        <f>L81-J81</f>
        <v>61</v>
      </c>
      <c r="L81" s="175">
        <v>87</v>
      </c>
      <c r="M81" s="175">
        <f>N81-L81</f>
        <v>52</v>
      </c>
      <c r="N81" s="175">
        <v>139</v>
      </c>
      <c r="O81" s="175">
        <f>P81-N81</f>
        <v>45</v>
      </c>
      <c r="P81" s="175">
        <v>184</v>
      </c>
      <c r="Q81" s="221"/>
      <c r="R81" s="221"/>
      <c r="S81" s="153">
        <v>34</v>
      </c>
      <c r="T81" s="221"/>
      <c r="U81" s="221"/>
      <c r="V81" s="221"/>
      <c r="W81" s="153">
        <v>33</v>
      </c>
      <c r="X81" s="466"/>
      <c r="Y81" s="466"/>
      <c r="Z81" s="175">
        <v>34</v>
      </c>
      <c r="AA81" s="466"/>
      <c r="AB81" s="466"/>
      <c r="AC81" s="466"/>
      <c r="AD81" s="175">
        <v>33</v>
      </c>
      <c r="AE81" s="221"/>
      <c r="AF81" s="221"/>
      <c r="AG81" s="153">
        <v>72</v>
      </c>
      <c r="AH81" s="221"/>
      <c r="AI81" s="221"/>
      <c r="AJ81" s="221"/>
      <c r="AK81" s="153">
        <v>96</v>
      </c>
      <c r="AL81" s="237"/>
      <c r="AM81" s="237"/>
      <c r="AN81" s="175">
        <f>+AN75+SUM(AN77:AN79)</f>
        <v>72</v>
      </c>
      <c r="AO81" s="175"/>
      <c r="AP81" s="175"/>
      <c r="AQ81" s="175"/>
      <c r="AR81" s="237"/>
      <c r="AS81" s="237">
        <v>57</v>
      </c>
      <c r="AT81" s="237"/>
      <c r="AU81" s="120">
        <f>+AU75+SUM(AU77:AU79)</f>
        <v>105</v>
      </c>
      <c r="AV81" s="120"/>
      <c r="AW81" s="120"/>
      <c r="AX81" s="120"/>
      <c r="AY81" s="120"/>
      <c r="AZ81" s="45"/>
    </row>
    <row r="82" spans="2:52" ht="15" thickBot="1" x14ac:dyDescent="0.25">
      <c r="B82" s="168"/>
      <c r="C82" s="207"/>
      <c r="D82" s="207"/>
      <c r="E82" s="207"/>
      <c r="F82" s="207"/>
      <c r="G82" s="207"/>
      <c r="H82" s="207"/>
      <c r="I82" s="207"/>
      <c r="J82" s="208"/>
      <c r="K82" s="208"/>
      <c r="L82" s="208"/>
      <c r="M82" s="208"/>
      <c r="N82" s="208"/>
      <c r="O82" s="208"/>
      <c r="P82" s="208"/>
      <c r="Q82" s="230"/>
      <c r="R82" s="230"/>
      <c r="S82" s="207"/>
      <c r="T82" s="230"/>
      <c r="U82" s="230"/>
      <c r="V82" s="230"/>
      <c r="W82" s="207"/>
      <c r="X82" s="217"/>
      <c r="Y82" s="217"/>
      <c r="Z82" s="208"/>
      <c r="AA82" s="217"/>
      <c r="AB82" s="217"/>
      <c r="AC82" s="217"/>
      <c r="AD82" s="208"/>
      <c r="AE82" s="230"/>
      <c r="AF82" s="230"/>
      <c r="AG82" s="207"/>
      <c r="AH82" s="230"/>
      <c r="AI82" s="230"/>
      <c r="AJ82" s="230"/>
      <c r="AK82" s="207"/>
      <c r="AL82" s="195"/>
      <c r="AM82" s="195"/>
      <c r="AN82" s="208"/>
      <c r="AO82" s="208"/>
      <c r="AP82" s="208"/>
      <c r="AQ82" s="208"/>
      <c r="AR82" s="195"/>
      <c r="AS82" s="195"/>
      <c r="AT82" s="195"/>
      <c r="AU82" s="148"/>
      <c r="AV82" s="148"/>
      <c r="AW82" s="148"/>
      <c r="AX82" s="148"/>
      <c r="AY82" s="148"/>
      <c r="AZ82" s="45"/>
    </row>
    <row r="83" spans="2:52" x14ac:dyDescent="0.2">
      <c r="B83" s="144" t="s">
        <v>980</v>
      </c>
      <c r="C83" s="207">
        <v>4</v>
      </c>
      <c r="D83" s="207">
        <f>E83-C83</f>
        <v>8</v>
      </c>
      <c r="E83" s="207">
        <v>12</v>
      </c>
      <c r="F83" s="207">
        <f>G83-E83</f>
        <v>10</v>
      </c>
      <c r="G83" s="207">
        <v>22</v>
      </c>
      <c r="H83" s="207">
        <f>I83-G83</f>
        <v>21</v>
      </c>
      <c r="I83" s="207">
        <v>43</v>
      </c>
      <c r="J83" s="208">
        <v>8</v>
      </c>
      <c r="K83" s="208">
        <f>L83-J83</f>
        <v>17</v>
      </c>
      <c r="L83" s="208">
        <v>25</v>
      </c>
      <c r="M83" s="208">
        <f>N83-L83</f>
        <v>22</v>
      </c>
      <c r="N83" s="208">
        <v>47</v>
      </c>
      <c r="O83" s="208">
        <f>P83-N83</f>
        <v>60</v>
      </c>
      <c r="P83" s="208">
        <v>107</v>
      </c>
      <c r="Q83" s="222"/>
      <c r="R83" s="222"/>
      <c r="S83" s="207">
        <v>32</v>
      </c>
      <c r="T83" s="222"/>
      <c r="U83" s="222"/>
      <c r="V83" s="222"/>
      <c r="W83" s="207">
        <v>140</v>
      </c>
      <c r="X83" s="467"/>
      <c r="Y83" s="467"/>
      <c r="Z83" s="208">
        <v>32</v>
      </c>
      <c r="AA83" s="467"/>
      <c r="AB83" s="467"/>
      <c r="AC83" s="467"/>
      <c r="AD83" s="208">
        <v>140</v>
      </c>
      <c r="AE83" s="222"/>
      <c r="AF83" s="222"/>
      <c r="AG83" s="207">
        <v>89</v>
      </c>
      <c r="AH83" s="222"/>
      <c r="AI83" s="222"/>
      <c r="AJ83" s="222"/>
      <c r="AK83" s="207">
        <v>239</v>
      </c>
      <c r="AL83" s="559"/>
      <c r="AM83" s="559"/>
      <c r="AN83" s="208">
        <v>89</v>
      </c>
      <c r="AO83" s="208"/>
      <c r="AP83" s="208"/>
      <c r="AQ83" s="208"/>
      <c r="AR83" s="559"/>
      <c r="AS83" s="563">
        <v>20</v>
      </c>
      <c r="AT83" s="559"/>
      <c r="AU83" s="148">
        <v>70</v>
      </c>
      <c r="AV83" s="148"/>
      <c r="AW83" s="148"/>
      <c r="AX83" s="148"/>
      <c r="AY83" s="148"/>
      <c r="AZ83" s="45"/>
    </row>
    <row r="84" spans="2:52" ht="15" thickBot="1" x14ac:dyDescent="0.25">
      <c r="B84" s="170" t="s">
        <v>78</v>
      </c>
      <c r="C84" s="209">
        <v>1046</v>
      </c>
      <c r="D84" s="232">
        <f>E84-C84</f>
        <v>-9</v>
      </c>
      <c r="E84" s="209">
        <v>1037</v>
      </c>
      <c r="F84" s="209">
        <f>G84-E84</f>
        <v>3</v>
      </c>
      <c r="G84" s="209">
        <v>1040</v>
      </c>
      <c r="H84" s="232">
        <f>I84-G84</f>
        <v>-10</v>
      </c>
      <c r="I84" s="209">
        <v>1030</v>
      </c>
      <c r="J84" s="210">
        <v>930</v>
      </c>
      <c r="K84" s="210">
        <f>L84-J84</f>
        <v>2111</v>
      </c>
      <c r="L84" s="210">
        <v>3041</v>
      </c>
      <c r="M84" s="233">
        <f>N84-L84</f>
        <v>-133</v>
      </c>
      <c r="N84" s="210">
        <v>2908</v>
      </c>
      <c r="O84" s="210">
        <f>P84-N84</f>
        <v>41</v>
      </c>
      <c r="P84" s="210">
        <v>2949</v>
      </c>
      <c r="Q84" s="223"/>
      <c r="R84" s="223"/>
      <c r="S84" s="209">
        <v>3007</v>
      </c>
      <c r="T84" s="223"/>
      <c r="U84" s="223"/>
      <c r="V84" s="223"/>
      <c r="W84" s="209">
        <v>3156</v>
      </c>
      <c r="X84" s="468"/>
      <c r="Y84" s="468"/>
      <c r="Z84" s="210">
        <v>3007</v>
      </c>
      <c r="AA84" s="468"/>
      <c r="AB84" s="468"/>
      <c r="AC84" s="468"/>
      <c r="AD84" s="210">
        <v>3156</v>
      </c>
      <c r="AE84" s="223"/>
      <c r="AF84" s="223"/>
      <c r="AG84" s="209">
        <v>3186</v>
      </c>
      <c r="AH84" s="223"/>
      <c r="AI84" s="223"/>
      <c r="AJ84" s="223"/>
      <c r="AK84" s="209">
        <v>3303</v>
      </c>
      <c r="AL84" s="557"/>
      <c r="AM84" s="557"/>
      <c r="AN84" s="210">
        <v>3186</v>
      </c>
      <c r="AO84" s="210"/>
      <c r="AP84" s="210"/>
      <c r="AQ84" s="210"/>
      <c r="AR84" s="557"/>
      <c r="AS84" s="557"/>
      <c r="AT84" s="557"/>
      <c r="AU84" s="174">
        <v>3314</v>
      </c>
      <c r="AV84" s="174"/>
      <c r="AW84" s="174"/>
      <c r="AX84" s="174"/>
      <c r="AY84" s="174"/>
      <c r="AZ84" s="45"/>
    </row>
    <row r="85" spans="2:52" x14ac:dyDescent="0.2">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row>
    <row r="86" spans="2:52" x14ac:dyDescent="0.2">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45"/>
      <c r="AU86" s="45"/>
      <c r="AV86" s="45"/>
      <c r="AW86" s="45"/>
      <c r="AX86" s="45"/>
      <c r="AY86" s="45"/>
      <c r="AZ86" s="45"/>
    </row>
    <row r="87" spans="2:52" ht="15" x14ac:dyDescent="0.25">
      <c r="B87" s="231" t="s">
        <v>85</v>
      </c>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row>
    <row r="88" spans="2:52" x14ac:dyDescent="0.2">
      <c r="B88" s="213"/>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row>
    <row r="89" spans="2:52" x14ac:dyDescent="0.2">
      <c r="B89" s="191" t="s">
        <v>976</v>
      </c>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row>
    <row r="90" spans="2:52" ht="15" thickBot="1" x14ac:dyDescent="0.25">
      <c r="B90" s="191"/>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row>
    <row r="91" spans="2:52" x14ac:dyDescent="0.2">
      <c r="B91" s="203" t="s">
        <v>87</v>
      </c>
      <c r="C91" s="207">
        <v>3706</v>
      </c>
      <c r="D91" s="207">
        <f>E91-C91</f>
        <v>3007</v>
      </c>
      <c r="E91" s="207">
        <v>6713</v>
      </c>
      <c r="F91" s="207">
        <f>G91-E91</f>
        <v>4161</v>
      </c>
      <c r="G91" s="207">
        <v>10874</v>
      </c>
      <c r="H91" s="207">
        <f>I91-G91</f>
        <v>3242</v>
      </c>
      <c r="I91" s="207">
        <v>14116</v>
      </c>
      <c r="J91" s="208">
        <v>3918</v>
      </c>
      <c r="K91" s="208">
        <f>L91-J91</f>
        <v>3342</v>
      </c>
      <c r="L91" s="208">
        <v>7260</v>
      </c>
      <c r="M91" s="208">
        <f>N91-L91</f>
        <v>4443</v>
      </c>
      <c r="N91" s="208">
        <v>11703</v>
      </c>
      <c r="O91" s="208">
        <f>P91-N91</f>
        <v>5062</v>
      </c>
      <c r="P91" s="208">
        <v>16765</v>
      </c>
      <c r="Q91" s="207">
        <v>4682</v>
      </c>
      <c r="R91" s="207">
        <f>S91-Q91</f>
        <v>3733</v>
      </c>
      <c r="S91" s="207">
        <v>8415</v>
      </c>
      <c r="T91" s="207">
        <f>U91-S91</f>
        <v>4086</v>
      </c>
      <c r="U91" s="207">
        <v>12501</v>
      </c>
      <c r="V91" s="207">
        <f>W91-U91</f>
        <v>3968</v>
      </c>
      <c r="W91" s="207">
        <v>16469</v>
      </c>
      <c r="X91" s="208">
        <v>4682</v>
      </c>
      <c r="Y91" s="208">
        <f>Z91-X91</f>
        <v>3733</v>
      </c>
      <c r="Z91" s="208">
        <v>8415</v>
      </c>
      <c r="AA91" s="208">
        <f>AB91-Z91</f>
        <v>4086</v>
      </c>
      <c r="AB91" s="208">
        <v>12501</v>
      </c>
      <c r="AC91" s="208">
        <f>AD91-AB91</f>
        <v>3968</v>
      </c>
      <c r="AD91" s="208">
        <v>16469</v>
      </c>
      <c r="AE91" s="207">
        <v>3932</v>
      </c>
      <c r="AF91" s="207">
        <f>AG91-AE91</f>
        <v>2654</v>
      </c>
      <c r="AG91" s="207">
        <v>6586</v>
      </c>
      <c r="AH91" s="207">
        <f>AI91-AG91</f>
        <v>4018</v>
      </c>
      <c r="AI91" s="207">
        <v>10604</v>
      </c>
      <c r="AJ91" s="207">
        <f>AK91-AI91</f>
        <v>4159</v>
      </c>
      <c r="AK91" s="207">
        <v>14763</v>
      </c>
      <c r="AL91" s="559"/>
      <c r="AM91" s="559"/>
      <c r="AN91" s="208">
        <v>6586</v>
      </c>
      <c r="AO91" s="208"/>
      <c r="AP91" s="208"/>
      <c r="AQ91" s="208"/>
      <c r="AR91" s="208">
        <v>14763</v>
      </c>
      <c r="AS91" s="563">
        <v>4335</v>
      </c>
      <c r="AT91" s="559"/>
      <c r="AU91" s="207">
        <v>8129</v>
      </c>
      <c r="AV91" s="207"/>
      <c r="AW91" s="207"/>
      <c r="AX91" s="207"/>
      <c r="AY91" s="207"/>
      <c r="AZ91" s="45"/>
    </row>
    <row r="92" spans="2:52" x14ac:dyDescent="0.2">
      <c r="B92" s="45" t="s">
        <v>88</v>
      </c>
      <c r="C92" s="154">
        <v>590</v>
      </c>
      <c r="D92" s="154">
        <f t="shared" ref="D92:F94" si="7">E92-C92</f>
        <v>1050</v>
      </c>
      <c r="E92" s="154">
        <v>1640</v>
      </c>
      <c r="F92" s="154">
        <f t="shared" si="7"/>
        <v>1033</v>
      </c>
      <c r="G92" s="154">
        <v>2673</v>
      </c>
      <c r="H92" s="154">
        <f>I92-G92</f>
        <v>705</v>
      </c>
      <c r="I92" s="154">
        <v>3378</v>
      </c>
      <c r="J92" s="173">
        <v>304</v>
      </c>
      <c r="K92" s="173">
        <f>L92-J92</f>
        <v>870</v>
      </c>
      <c r="L92" s="173">
        <v>1174</v>
      </c>
      <c r="M92" s="173">
        <f>N92-L92</f>
        <v>746</v>
      </c>
      <c r="N92" s="173">
        <v>1920</v>
      </c>
      <c r="O92" s="173">
        <f>P92-N92</f>
        <v>570</v>
      </c>
      <c r="P92" s="173">
        <v>2490</v>
      </c>
      <c r="Q92" s="154">
        <v>337</v>
      </c>
      <c r="R92" s="154">
        <f>S92-Q92</f>
        <v>704</v>
      </c>
      <c r="S92" s="154">
        <v>1041</v>
      </c>
      <c r="T92" s="154">
        <f>U92-S92</f>
        <v>720</v>
      </c>
      <c r="U92" s="154">
        <v>1761</v>
      </c>
      <c r="V92" s="154">
        <f>W92-U92</f>
        <v>448</v>
      </c>
      <c r="W92" s="154">
        <v>2209</v>
      </c>
      <c r="X92" s="173">
        <v>337</v>
      </c>
      <c r="Y92" s="173">
        <f>Z92-X92</f>
        <v>704</v>
      </c>
      <c r="Z92" s="173">
        <v>1041</v>
      </c>
      <c r="AA92" s="173">
        <f>AB92-Z92</f>
        <v>720</v>
      </c>
      <c r="AB92" s="173">
        <v>1761</v>
      </c>
      <c r="AC92" s="173">
        <f>AD92-AB92</f>
        <v>448</v>
      </c>
      <c r="AD92" s="173">
        <v>2209</v>
      </c>
      <c r="AE92" s="154">
        <v>466</v>
      </c>
      <c r="AF92" s="154">
        <f>AG92-AE92</f>
        <v>1215</v>
      </c>
      <c r="AG92" s="154">
        <v>1681</v>
      </c>
      <c r="AH92" s="154">
        <f>AI92-AG92</f>
        <v>675</v>
      </c>
      <c r="AI92" s="154">
        <v>2356</v>
      </c>
      <c r="AJ92" s="154">
        <f>AK92-AI92</f>
        <v>724</v>
      </c>
      <c r="AK92" s="154">
        <v>3080</v>
      </c>
      <c r="AL92" s="195"/>
      <c r="AM92" s="195"/>
      <c r="AN92" s="173">
        <v>1681</v>
      </c>
      <c r="AO92" s="173"/>
      <c r="AP92" s="173"/>
      <c r="AQ92" s="173"/>
      <c r="AR92" s="173">
        <v>3080</v>
      </c>
      <c r="AS92" s="561">
        <v>439</v>
      </c>
      <c r="AT92" s="195"/>
      <c r="AU92" s="154">
        <v>1500</v>
      </c>
      <c r="AV92" s="154"/>
      <c r="AW92" s="154"/>
      <c r="AX92" s="154"/>
      <c r="AY92" s="154"/>
      <c r="AZ92" s="45"/>
    </row>
    <row r="93" spans="2:52" x14ac:dyDescent="0.2">
      <c r="B93" s="45" t="s">
        <v>89</v>
      </c>
      <c r="C93" s="154">
        <v>330</v>
      </c>
      <c r="D93" s="154">
        <f t="shared" si="7"/>
        <v>286</v>
      </c>
      <c r="E93" s="154">
        <v>616</v>
      </c>
      <c r="F93" s="154">
        <f t="shared" si="7"/>
        <v>176</v>
      </c>
      <c r="G93" s="154">
        <v>792</v>
      </c>
      <c r="H93" s="154">
        <f>I93-G93</f>
        <v>195</v>
      </c>
      <c r="I93" s="154">
        <v>987</v>
      </c>
      <c r="J93" s="173">
        <v>369</v>
      </c>
      <c r="K93" s="173">
        <f>L93-J93</f>
        <v>276</v>
      </c>
      <c r="L93" s="173">
        <v>645</v>
      </c>
      <c r="M93" s="173">
        <f>N93-L93</f>
        <v>188</v>
      </c>
      <c r="N93" s="173">
        <v>833</v>
      </c>
      <c r="O93" s="173">
        <f>P93-N93</f>
        <v>270</v>
      </c>
      <c r="P93" s="173">
        <v>1103</v>
      </c>
      <c r="Q93" s="154">
        <v>324</v>
      </c>
      <c r="R93" s="154">
        <f>S93-Q93</f>
        <v>218</v>
      </c>
      <c r="S93" s="154">
        <v>542</v>
      </c>
      <c r="T93" s="154">
        <f>U93-S93</f>
        <v>213</v>
      </c>
      <c r="U93" s="154">
        <v>755</v>
      </c>
      <c r="V93" s="154">
        <f>W93-U93</f>
        <v>309</v>
      </c>
      <c r="W93" s="154">
        <v>1064</v>
      </c>
      <c r="X93" s="173">
        <v>324</v>
      </c>
      <c r="Y93" s="173">
        <f>Z93-X93</f>
        <v>218</v>
      </c>
      <c r="Z93" s="173">
        <v>542</v>
      </c>
      <c r="AA93" s="173">
        <f>AB93-Z93</f>
        <v>213</v>
      </c>
      <c r="AB93" s="173">
        <v>755</v>
      </c>
      <c r="AC93" s="173">
        <f>AD93-AB93</f>
        <v>309</v>
      </c>
      <c r="AD93" s="173">
        <v>1064</v>
      </c>
      <c r="AE93" s="154">
        <v>336</v>
      </c>
      <c r="AF93" s="154">
        <f>AG93-AE93</f>
        <v>193</v>
      </c>
      <c r="AG93" s="154">
        <v>529</v>
      </c>
      <c r="AH93" s="154">
        <f>AI93-AG93</f>
        <v>149</v>
      </c>
      <c r="AI93" s="154">
        <v>678</v>
      </c>
      <c r="AJ93" s="154">
        <f>AK93-AI93</f>
        <v>277</v>
      </c>
      <c r="AK93" s="154">
        <v>955</v>
      </c>
      <c r="AL93" s="195"/>
      <c r="AM93" s="195"/>
      <c r="AN93" s="173">
        <v>529</v>
      </c>
      <c r="AO93" s="173"/>
      <c r="AP93" s="173"/>
      <c r="AQ93" s="173"/>
      <c r="AR93" s="173">
        <v>955</v>
      </c>
      <c r="AS93" s="561">
        <v>468</v>
      </c>
      <c r="AT93" s="195"/>
      <c r="AU93" s="154">
        <v>743</v>
      </c>
      <c r="AV93" s="154"/>
      <c r="AW93" s="154"/>
      <c r="AX93" s="154"/>
      <c r="AY93" s="154"/>
      <c r="AZ93" s="45"/>
    </row>
    <row r="94" spans="2:52" ht="15" thickBot="1" x14ac:dyDescent="0.25">
      <c r="B94" s="204" t="s">
        <v>968</v>
      </c>
      <c r="C94" s="209">
        <v>17470</v>
      </c>
      <c r="D94" s="209">
        <f t="shared" si="7"/>
        <v>17619</v>
      </c>
      <c r="E94" s="209">
        <v>35089</v>
      </c>
      <c r="F94" s="209">
        <f t="shared" si="7"/>
        <v>18225</v>
      </c>
      <c r="G94" s="209">
        <v>53314</v>
      </c>
      <c r="H94" s="209">
        <f>I94-G94</f>
        <v>17638</v>
      </c>
      <c r="I94" s="209">
        <v>70952</v>
      </c>
      <c r="J94" s="210">
        <v>18497</v>
      </c>
      <c r="K94" s="210">
        <f>L94-J94</f>
        <v>17625</v>
      </c>
      <c r="L94" s="210">
        <v>36122</v>
      </c>
      <c r="M94" s="210">
        <f>N94-L94</f>
        <v>17963</v>
      </c>
      <c r="N94" s="210">
        <v>54085</v>
      </c>
      <c r="O94" s="210">
        <f>P94-N94</f>
        <v>16751</v>
      </c>
      <c r="P94" s="210">
        <v>70836</v>
      </c>
      <c r="Q94" s="209">
        <v>14872</v>
      </c>
      <c r="R94" s="209">
        <f>S94-Q94</f>
        <v>13811</v>
      </c>
      <c r="S94" s="209">
        <v>28683</v>
      </c>
      <c r="T94" s="209">
        <f>U94-S94</f>
        <v>12890</v>
      </c>
      <c r="U94" s="209">
        <v>41573</v>
      </c>
      <c r="V94" s="209">
        <f>W94-U94</f>
        <v>12429</v>
      </c>
      <c r="W94" s="209">
        <v>54002</v>
      </c>
      <c r="X94" s="210">
        <v>2446</v>
      </c>
      <c r="Y94" s="210">
        <f>Z94-X94</f>
        <v>15209</v>
      </c>
      <c r="Z94" s="210">
        <v>17655</v>
      </c>
      <c r="AA94" s="210">
        <f>AB94-Z94</f>
        <v>7722</v>
      </c>
      <c r="AB94" s="210">
        <v>25377</v>
      </c>
      <c r="AC94" s="210">
        <f>AD94-AB94</f>
        <v>7911</v>
      </c>
      <c r="AD94" s="210">
        <v>33288</v>
      </c>
      <c r="AE94" s="209">
        <v>6138</v>
      </c>
      <c r="AF94" s="209">
        <f>AG94-AE94</f>
        <v>6141</v>
      </c>
      <c r="AG94" s="209">
        <v>12279</v>
      </c>
      <c r="AH94" s="209">
        <f>AI94-AG94</f>
        <v>5525</v>
      </c>
      <c r="AI94" s="209">
        <v>17804</v>
      </c>
      <c r="AJ94" s="209">
        <f>AK94-AI94</f>
        <v>6216</v>
      </c>
      <c r="AK94" s="209">
        <v>24020</v>
      </c>
      <c r="AL94" s="557"/>
      <c r="AM94" s="557"/>
      <c r="AN94" s="210">
        <v>12279</v>
      </c>
      <c r="AO94" s="210"/>
      <c r="AP94" s="210"/>
      <c r="AQ94" s="210"/>
      <c r="AR94" s="210">
        <v>24020</v>
      </c>
      <c r="AS94" s="562">
        <v>4949</v>
      </c>
      <c r="AT94" s="557"/>
      <c r="AU94" s="209">
        <v>10125</v>
      </c>
      <c r="AV94" s="209"/>
      <c r="AW94" s="209"/>
      <c r="AX94" s="209"/>
      <c r="AY94" s="209"/>
      <c r="AZ94" s="45"/>
    </row>
    <row r="95" spans="2:52" ht="15" thickBot="1" x14ac:dyDescent="0.25">
      <c r="B95" s="45"/>
      <c r="C95" s="154"/>
      <c r="D95" s="154"/>
      <c r="E95" s="154"/>
      <c r="F95" s="154"/>
      <c r="G95" s="154"/>
      <c r="H95" s="154"/>
      <c r="I95" s="154"/>
      <c r="J95" s="173"/>
      <c r="K95" s="173"/>
      <c r="L95" s="173"/>
      <c r="M95" s="173"/>
      <c r="N95" s="173"/>
      <c r="O95" s="173"/>
      <c r="P95" s="173"/>
      <c r="Q95" s="154"/>
      <c r="R95" s="154"/>
      <c r="S95" s="154"/>
      <c r="T95" s="154"/>
      <c r="U95" s="154"/>
      <c r="V95" s="154"/>
      <c r="W95" s="154"/>
      <c r="X95" s="173"/>
      <c r="Y95" s="173"/>
      <c r="Z95" s="173"/>
      <c r="AA95" s="173"/>
      <c r="AB95" s="173"/>
      <c r="AC95" s="173"/>
      <c r="AD95" s="173"/>
      <c r="AE95" s="154"/>
      <c r="AF95" s="154"/>
      <c r="AG95" s="154"/>
      <c r="AH95" s="154"/>
      <c r="AI95" s="154"/>
      <c r="AJ95" s="154"/>
      <c r="AK95" s="154"/>
      <c r="AL95" s="195"/>
      <c r="AM95" s="195"/>
      <c r="AN95" s="173"/>
      <c r="AO95" s="173"/>
      <c r="AP95" s="173"/>
      <c r="AQ95" s="173"/>
      <c r="AR95" s="173"/>
      <c r="AS95" s="195"/>
      <c r="AT95" s="195"/>
      <c r="AU95" s="154"/>
      <c r="AV95" s="154"/>
      <c r="AW95" s="154"/>
      <c r="AX95" s="154"/>
      <c r="AY95" s="154"/>
      <c r="AZ95" s="45"/>
    </row>
    <row r="96" spans="2:52" ht="15" thickBot="1" x14ac:dyDescent="0.25">
      <c r="B96" s="64" t="s">
        <v>90</v>
      </c>
      <c r="C96" s="153">
        <f>SUM(C91:C94)</f>
        <v>22096</v>
      </c>
      <c r="D96" s="153">
        <f t="shared" ref="D96:AS96" si="8">SUM(D91:D94)</f>
        <v>21962</v>
      </c>
      <c r="E96" s="153">
        <f t="shared" si="8"/>
        <v>44058</v>
      </c>
      <c r="F96" s="153">
        <f t="shared" si="8"/>
        <v>23595</v>
      </c>
      <c r="G96" s="153">
        <f t="shared" si="8"/>
        <v>67653</v>
      </c>
      <c r="H96" s="153">
        <f t="shared" si="8"/>
        <v>21780</v>
      </c>
      <c r="I96" s="153">
        <f t="shared" si="8"/>
        <v>89433</v>
      </c>
      <c r="J96" s="175">
        <f t="shared" si="8"/>
        <v>23088</v>
      </c>
      <c r="K96" s="175">
        <f t="shared" si="8"/>
        <v>22113</v>
      </c>
      <c r="L96" s="175">
        <f t="shared" si="8"/>
        <v>45201</v>
      </c>
      <c r="M96" s="175">
        <f t="shared" si="8"/>
        <v>23340</v>
      </c>
      <c r="N96" s="175">
        <f t="shared" si="8"/>
        <v>68541</v>
      </c>
      <c r="O96" s="175">
        <f t="shared" si="8"/>
        <v>22653</v>
      </c>
      <c r="P96" s="175">
        <f t="shared" si="8"/>
        <v>91194</v>
      </c>
      <c r="Q96" s="153">
        <f t="shared" si="8"/>
        <v>20215</v>
      </c>
      <c r="R96" s="153">
        <f t="shared" si="8"/>
        <v>18466</v>
      </c>
      <c r="S96" s="153">
        <f t="shared" si="8"/>
        <v>38681</v>
      </c>
      <c r="T96" s="153">
        <f t="shared" si="8"/>
        <v>17909</v>
      </c>
      <c r="U96" s="153">
        <f t="shared" si="8"/>
        <v>56590</v>
      </c>
      <c r="V96" s="153">
        <f t="shared" si="8"/>
        <v>17154</v>
      </c>
      <c r="W96" s="153">
        <f t="shared" si="8"/>
        <v>73744</v>
      </c>
      <c r="X96" s="175">
        <f t="shared" si="8"/>
        <v>7789</v>
      </c>
      <c r="Y96" s="175">
        <f t="shared" si="8"/>
        <v>19864</v>
      </c>
      <c r="Z96" s="175">
        <f t="shared" si="8"/>
        <v>27653</v>
      </c>
      <c r="AA96" s="175">
        <f t="shared" si="8"/>
        <v>12741</v>
      </c>
      <c r="AB96" s="175">
        <f t="shared" si="8"/>
        <v>40394</v>
      </c>
      <c r="AC96" s="175">
        <f t="shared" si="8"/>
        <v>12636</v>
      </c>
      <c r="AD96" s="175">
        <f t="shared" si="8"/>
        <v>53030</v>
      </c>
      <c r="AE96" s="153">
        <f t="shared" si="8"/>
        <v>10872</v>
      </c>
      <c r="AF96" s="153">
        <f t="shared" si="8"/>
        <v>10203</v>
      </c>
      <c r="AG96" s="153">
        <f t="shared" si="8"/>
        <v>21075</v>
      </c>
      <c r="AH96" s="153">
        <f t="shared" si="8"/>
        <v>10367</v>
      </c>
      <c r="AI96" s="153">
        <f t="shared" si="8"/>
        <v>31442</v>
      </c>
      <c r="AJ96" s="153">
        <f t="shared" si="8"/>
        <v>11376</v>
      </c>
      <c r="AK96" s="153">
        <f t="shared" si="8"/>
        <v>42818</v>
      </c>
      <c r="AL96" s="237"/>
      <c r="AM96" s="237"/>
      <c r="AN96" s="175">
        <f t="shared" ref="AN96" si="9">SUM(AN91:AN94)</f>
        <v>21075</v>
      </c>
      <c r="AO96" s="175"/>
      <c r="AP96" s="175"/>
      <c r="AQ96" s="175"/>
      <c r="AR96" s="175">
        <f t="shared" ref="AR96" si="10">SUM(AR91:AR94)</f>
        <v>42818</v>
      </c>
      <c r="AS96" s="237">
        <f t="shared" si="8"/>
        <v>10191</v>
      </c>
      <c r="AT96" s="237"/>
      <c r="AU96" s="153">
        <f>+SUM(AU91:AU94)</f>
        <v>20497</v>
      </c>
      <c r="AV96" s="153"/>
      <c r="AW96" s="153"/>
      <c r="AX96" s="153"/>
      <c r="AY96" s="153"/>
      <c r="AZ96" s="45"/>
    </row>
    <row r="97" spans="2:52" x14ac:dyDescent="0.2">
      <c r="B97" s="191"/>
      <c r="C97" s="154"/>
      <c r="D97" s="154"/>
      <c r="E97" s="154"/>
      <c r="F97" s="154"/>
      <c r="G97" s="154"/>
      <c r="H97" s="154"/>
      <c r="I97" s="154"/>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c r="AM97" s="146"/>
      <c r="AN97" s="146"/>
      <c r="AO97" s="146"/>
      <c r="AP97" s="146"/>
      <c r="AQ97" s="146"/>
      <c r="AR97" s="146"/>
      <c r="AS97" s="146"/>
      <c r="AT97" s="146"/>
      <c r="AU97" s="146"/>
      <c r="AV97" s="146"/>
      <c r="AW97" s="146"/>
      <c r="AX97" s="146"/>
      <c r="AY97" s="146"/>
      <c r="AZ97" s="45"/>
    </row>
    <row r="98" spans="2:52" x14ac:dyDescent="0.2">
      <c r="B98" s="191" t="s">
        <v>977</v>
      </c>
      <c r="C98" s="154"/>
      <c r="D98" s="154"/>
      <c r="E98" s="154"/>
      <c r="F98" s="154"/>
      <c r="G98" s="154"/>
      <c r="H98" s="154"/>
      <c r="I98" s="154"/>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c r="AN98" s="146"/>
      <c r="AO98" s="146"/>
      <c r="AP98" s="146"/>
      <c r="AQ98" s="146"/>
      <c r="AR98" s="146"/>
      <c r="AS98" s="146"/>
      <c r="AT98" s="146"/>
      <c r="AU98" s="146"/>
      <c r="AV98" s="146"/>
      <c r="AW98" s="146"/>
      <c r="AX98" s="146"/>
      <c r="AY98" s="146"/>
      <c r="AZ98" s="45"/>
    </row>
    <row r="99" spans="2:52" ht="15" thickBot="1" x14ac:dyDescent="0.25">
      <c r="B99" s="191"/>
      <c r="C99" s="154"/>
      <c r="D99" s="154"/>
      <c r="E99" s="154"/>
      <c r="F99" s="154"/>
      <c r="G99" s="154"/>
      <c r="H99" s="154"/>
      <c r="I99" s="154"/>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6"/>
      <c r="AP99" s="146"/>
      <c r="AQ99" s="146"/>
      <c r="AR99" s="146"/>
      <c r="AS99" s="146"/>
      <c r="AT99" s="146"/>
      <c r="AU99" s="146"/>
      <c r="AV99" s="146"/>
      <c r="AW99" s="146"/>
      <c r="AX99" s="146"/>
      <c r="AY99" s="146"/>
      <c r="AZ99" s="45"/>
    </row>
    <row r="100" spans="2:52" x14ac:dyDescent="0.2">
      <c r="B100" s="203" t="s">
        <v>969</v>
      </c>
      <c r="C100" s="207">
        <v>4757</v>
      </c>
      <c r="D100" s="207">
        <f>E100-C100</f>
        <v>4316</v>
      </c>
      <c r="E100" s="207">
        <v>9073</v>
      </c>
      <c r="F100" s="207">
        <f>G100-E100</f>
        <v>4203</v>
      </c>
      <c r="G100" s="207">
        <v>13276</v>
      </c>
      <c r="H100" s="207">
        <f>I100-G100</f>
        <v>3832</v>
      </c>
      <c r="I100" s="207">
        <v>17108</v>
      </c>
      <c r="J100" s="208">
        <v>3041</v>
      </c>
      <c r="K100" s="208">
        <f>L100-J100</f>
        <v>2881</v>
      </c>
      <c r="L100" s="208">
        <v>5922</v>
      </c>
      <c r="M100" s="208">
        <f>N100-L100</f>
        <v>2878</v>
      </c>
      <c r="N100" s="208">
        <v>8800</v>
      </c>
      <c r="O100" s="208">
        <f>P100-N100</f>
        <v>2782</v>
      </c>
      <c r="P100" s="208">
        <v>11582</v>
      </c>
      <c r="Q100" s="207">
        <v>2606</v>
      </c>
      <c r="R100" s="207">
        <f>S100-Q100</f>
        <v>2554</v>
      </c>
      <c r="S100" s="207">
        <v>5160</v>
      </c>
      <c r="T100" s="207">
        <f>U100-S100</f>
        <v>2837</v>
      </c>
      <c r="U100" s="207">
        <v>7997</v>
      </c>
      <c r="V100" s="207">
        <f>W100-U100</f>
        <v>2930</v>
      </c>
      <c r="W100" s="207">
        <v>10927</v>
      </c>
      <c r="X100" s="208">
        <v>2606</v>
      </c>
      <c r="Y100" s="208">
        <f>Z100-X100</f>
        <v>2554</v>
      </c>
      <c r="Z100" s="208">
        <v>5160</v>
      </c>
      <c r="AA100" s="208">
        <f>AB100-Z100</f>
        <v>2837</v>
      </c>
      <c r="AB100" s="208">
        <v>7997</v>
      </c>
      <c r="AC100" s="208">
        <f>AD100-AB100</f>
        <v>2930</v>
      </c>
      <c r="AD100" s="208">
        <v>10927</v>
      </c>
      <c r="AE100" s="207">
        <v>3373</v>
      </c>
      <c r="AF100" s="207">
        <f>AG100-AE100</f>
        <v>3327</v>
      </c>
      <c r="AG100" s="207">
        <v>6700</v>
      </c>
      <c r="AH100" s="207">
        <f>AI100-AG100</f>
        <v>3537</v>
      </c>
      <c r="AI100" s="207">
        <v>10237</v>
      </c>
      <c r="AJ100" s="207">
        <f>AK100-AI100</f>
        <v>3457</v>
      </c>
      <c r="AK100" s="207">
        <v>13694</v>
      </c>
      <c r="AL100" s="559"/>
      <c r="AM100" s="559"/>
      <c r="AN100" s="208">
        <v>6700</v>
      </c>
      <c r="AO100" s="208"/>
      <c r="AP100" s="208"/>
      <c r="AQ100" s="208"/>
      <c r="AR100" s="208">
        <v>13694</v>
      </c>
      <c r="AS100" s="563">
        <v>3745</v>
      </c>
      <c r="AT100" s="559"/>
      <c r="AU100" s="207">
        <v>7396</v>
      </c>
      <c r="AV100" s="207"/>
      <c r="AW100" s="207"/>
      <c r="AX100" s="207"/>
      <c r="AY100" s="207"/>
      <c r="AZ100" s="45"/>
    </row>
    <row r="101" spans="2:52" ht="15" thickBot="1" x14ac:dyDescent="0.25">
      <c r="B101" s="204" t="s">
        <v>970</v>
      </c>
      <c r="C101" s="209">
        <v>17339</v>
      </c>
      <c r="D101" s="209">
        <f t="shared" ref="D101:F101" si="11">E101-C101</f>
        <v>17646</v>
      </c>
      <c r="E101" s="209">
        <v>34985</v>
      </c>
      <c r="F101" s="209">
        <f t="shared" si="11"/>
        <v>19392</v>
      </c>
      <c r="G101" s="209">
        <v>54377</v>
      </c>
      <c r="H101" s="209">
        <f>I101-G101</f>
        <v>17948</v>
      </c>
      <c r="I101" s="209">
        <v>72325</v>
      </c>
      <c r="J101" s="210">
        <v>20046</v>
      </c>
      <c r="K101" s="210">
        <f>L101-J101</f>
        <v>19233</v>
      </c>
      <c r="L101" s="210">
        <v>39279</v>
      </c>
      <c r="M101" s="210">
        <f>N101-L101</f>
        <v>20462</v>
      </c>
      <c r="N101" s="210">
        <v>59741</v>
      </c>
      <c r="O101" s="210">
        <f>P101-N101</f>
        <v>19871</v>
      </c>
      <c r="P101" s="210">
        <v>79612</v>
      </c>
      <c r="Q101" s="209">
        <v>17609</v>
      </c>
      <c r="R101" s="209">
        <f>S101-Q101</f>
        <v>15912</v>
      </c>
      <c r="S101" s="209">
        <v>33521</v>
      </c>
      <c r="T101" s="209">
        <f>U101-S101</f>
        <v>15072</v>
      </c>
      <c r="U101" s="209">
        <v>48593</v>
      </c>
      <c r="V101" s="209">
        <f>W101-U101</f>
        <v>14224</v>
      </c>
      <c r="W101" s="209">
        <v>62817</v>
      </c>
      <c r="X101" s="210">
        <v>5183</v>
      </c>
      <c r="Y101" s="210">
        <f>Z101-X101</f>
        <v>17310</v>
      </c>
      <c r="Z101" s="210">
        <v>22493</v>
      </c>
      <c r="AA101" s="210">
        <f>AB101-Z101</f>
        <v>9904</v>
      </c>
      <c r="AB101" s="210">
        <v>32397</v>
      </c>
      <c r="AC101" s="210">
        <f>AD101-AB101</f>
        <v>9706</v>
      </c>
      <c r="AD101" s="210">
        <v>42103</v>
      </c>
      <c r="AE101" s="209">
        <v>7499</v>
      </c>
      <c r="AF101" s="209">
        <f>AG101-AE101</f>
        <v>6876</v>
      </c>
      <c r="AG101" s="209">
        <v>14375</v>
      </c>
      <c r="AH101" s="209">
        <f>AI101-AG101</f>
        <v>6830</v>
      </c>
      <c r="AI101" s="209">
        <v>21205</v>
      </c>
      <c r="AJ101" s="209">
        <f>AK101-AI101</f>
        <v>7919</v>
      </c>
      <c r="AK101" s="209">
        <v>29124</v>
      </c>
      <c r="AL101" s="557"/>
      <c r="AM101" s="557"/>
      <c r="AN101" s="210">
        <v>14375</v>
      </c>
      <c r="AO101" s="210"/>
      <c r="AP101" s="210"/>
      <c r="AQ101" s="210"/>
      <c r="AR101" s="210">
        <v>29124</v>
      </c>
      <c r="AS101" s="562">
        <v>6446</v>
      </c>
      <c r="AT101" s="557"/>
      <c r="AU101" s="209">
        <v>13101</v>
      </c>
      <c r="AV101" s="209"/>
      <c r="AW101" s="209"/>
      <c r="AX101" s="209"/>
      <c r="AY101" s="209"/>
      <c r="AZ101" s="45"/>
    </row>
    <row r="102" spans="2:52" ht="15" thickBot="1" x14ac:dyDescent="0.25">
      <c r="B102" s="45"/>
      <c r="C102" s="154"/>
      <c r="D102" s="154"/>
      <c r="E102" s="154"/>
      <c r="F102" s="154"/>
      <c r="G102" s="154"/>
      <c r="H102" s="154"/>
      <c r="I102" s="154"/>
      <c r="J102" s="173"/>
      <c r="K102" s="173"/>
      <c r="L102" s="173"/>
      <c r="M102" s="173"/>
      <c r="N102" s="173"/>
      <c r="O102" s="173"/>
      <c r="P102" s="173"/>
      <c r="Q102" s="154"/>
      <c r="R102" s="154"/>
      <c r="S102" s="154"/>
      <c r="T102" s="154"/>
      <c r="U102" s="154"/>
      <c r="V102" s="154"/>
      <c r="W102" s="154"/>
      <c r="X102" s="173"/>
      <c r="Y102" s="173"/>
      <c r="Z102" s="173"/>
      <c r="AA102" s="173"/>
      <c r="AB102" s="173"/>
      <c r="AC102" s="173"/>
      <c r="AD102" s="173"/>
      <c r="AE102" s="154"/>
      <c r="AF102" s="154"/>
      <c r="AG102" s="154"/>
      <c r="AH102" s="154"/>
      <c r="AI102" s="154"/>
      <c r="AJ102" s="154"/>
      <c r="AK102" s="154"/>
      <c r="AL102" s="195"/>
      <c r="AM102" s="195"/>
      <c r="AN102" s="173"/>
      <c r="AO102" s="173"/>
      <c r="AP102" s="173"/>
      <c r="AQ102" s="173"/>
      <c r="AR102" s="173"/>
      <c r="AS102" s="561"/>
      <c r="AT102" s="195"/>
      <c r="AU102" s="154"/>
      <c r="AV102" s="154"/>
      <c r="AW102" s="154"/>
      <c r="AX102" s="154"/>
      <c r="AY102" s="154"/>
      <c r="AZ102" s="45"/>
    </row>
    <row r="103" spans="2:52" ht="15" thickBot="1" x14ac:dyDescent="0.25">
      <c r="B103" s="64" t="s">
        <v>92</v>
      </c>
      <c r="C103" s="153">
        <f>SUM(C100:C101)</f>
        <v>22096</v>
      </c>
      <c r="D103" s="153">
        <f t="shared" ref="D103:AS103" si="12">SUM(D100:D101)</f>
        <v>21962</v>
      </c>
      <c r="E103" s="153">
        <f t="shared" si="12"/>
        <v>44058</v>
      </c>
      <c r="F103" s="153">
        <f t="shared" si="12"/>
        <v>23595</v>
      </c>
      <c r="G103" s="153">
        <f t="shared" si="12"/>
        <v>67653</v>
      </c>
      <c r="H103" s="153">
        <f t="shared" si="12"/>
        <v>21780</v>
      </c>
      <c r="I103" s="153">
        <f t="shared" si="12"/>
        <v>89433</v>
      </c>
      <c r="J103" s="175">
        <f t="shared" si="12"/>
        <v>23087</v>
      </c>
      <c r="K103" s="175">
        <f t="shared" si="12"/>
        <v>22114</v>
      </c>
      <c r="L103" s="175">
        <f t="shared" si="12"/>
        <v>45201</v>
      </c>
      <c r="M103" s="175">
        <f t="shared" si="12"/>
        <v>23340</v>
      </c>
      <c r="N103" s="175">
        <f t="shared" si="12"/>
        <v>68541</v>
      </c>
      <c r="O103" s="175">
        <f t="shared" si="12"/>
        <v>22653</v>
      </c>
      <c r="P103" s="175">
        <f t="shared" si="12"/>
        <v>91194</v>
      </c>
      <c r="Q103" s="153">
        <f t="shared" si="12"/>
        <v>20215</v>
      </c>
      <c r="R103" s="153">
        <f t="shared" si="12"/>
        <v>18466</v>
      </c>
      <c r="S103" s="153">
        <f t="shared" si="12"/>
        <v>38681</v>
      </c>
      <c r="T103" s="153">
        <f t="shared" si="12"/>
        <v>17909</v>
      </c>
      <c r="U103" s="153">
        <f t="shared" si="12"/>
        <v>56590</v>
      </c>
      <c r="V103" s="153">
        <f t="shared" si="12"/>
        <v>17154</v>
      </c>
      <c r="W103" s="153">
        <f t="shared" si="12"/>
        <v>73744</v>
      </c>
      <c r="X103" s="175">
        <f t="shared" si="12"/>
        <v>7789</v>
      </c>
      <c r="Y103" s="175">
        <f t="shared" si="12"/>
        <v>19864</v>
      </c>
      <c r="Z103" s="175">
        <f t="shared" si="12"/>
        <v>27653</v>
      </c>
      <c r="AA103" s="175">
        <f t="shared" si="12"/>
        <v>12741</v>
      </c>
      <c r="AB103" s="175">
        <f t="shared" si="12"/>
        <v>40394</v>
      </c>
      <c r="AC103" s="175">
        <f t="shared" si="12"/>
        <v>12636</v>
      </c>
      <c r="AD103" s="175">
        <f t="shared" si="12"/>
        <v>53030</v>
      </c>
      <c r="AE103" s="153">
        <f t="shared" si="12"/>
        <v>10872</v>
      </c>
      <c r="AF103" s="153">
        <f t="shared" si="12"/>
        <v>10203</v>
      </c>
      <c r="AG103" s="153">
        <f t="shared" si="12"/>
        <v>21075</v>
      </c>
      <c r="AH103" s="153">
        <f t="shared" si="12"/>
        <v>10367</v>
      </c>
      <c r="AI103" s="153">
        <f t="shared" si="12"/>
        <v>31442</v>
      </c>
      <c r="AJ103" s="153">
        <f t="shared" si="12"/>
        <v>11376</v>
      </c>
      <c r="AK103" s="153">
        <f t="shared" si="12"/>
        <v>42818</v>
      </c>
      <c r="AL103" s="560"/>
      <c r="AM103" s="560"/>
      <c r="AN103" s="175">
        <f t="shared" ref="AN103" si="13">SUM(AN100:AN101)</f>
        <v>21075</v>
      </c>
      <c r="AO103" s="175"/>
      <c r="AP103" s="175"/>
      <c r="AQ103" s="175"/>
      <c r="AR103" s="175">
        <f t="shared" ref="AR103" si="14">SUM(AR100:AR101)</f>
        <v>42818</v>
      </c>
      <c r="AS103" s="565">
        <f t="shared" si="12"/>
        <v>10191</v>
      </c>
      <c r="AT103" s="560"/>
      <c r="AU103" s="153">
        <f>+AU100+AU101</f>
        <v>20497</v>
      </c>
      <c r="AV103" s="153"/>
      <c r="AW103" s="153"/>
      <c r="AX103" s="153"/>
      <c r="AY103" s="153"/>
      <c r="AZ103" s="45"/>
    </row>
    <row r="104" spans="2:52" x14ac:dyDescent="0.2">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80"/>
      <c r="AT104" s="80"/>
      <c r="AU104" s="80"/>
      <c r="AV104" s="80"/>
      <c r="AW104" s="80"/>
      <c r="AX104" s="80"/>
      <c r="AY104" s="80"/>
      <c r="AZ104" s="45"/>
    </row>
    <row r="105" spans="2:52" x14ac:dyDescent="0.2">
      <c r="AS105" s="105"/>
      <c r="AT105" s="105"/>
      <c r="AU105" s="105"/>
      <c r="AV105" s="105"/>
      <c r="AW105" s="105"/>
      <c r="AX105" s="105"/>
      <c r="AY105" s="105"/>
    </row>
    <row r="106" spans="2:52" x14ac:dyDescent="0.2">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80"/>
      <c r="AT106" s="80"/>
      <c r="AU106" s="80"/>
      <c r="AV106" s="80"/>
      <c r="AW106" s="80"/>
      <c r="AX106" s="80"/>
      <c r="AY106" s="80"/>
      <c r="AZ106" s="45"/>
    </row>
    <row r="107" spans="2:52" ht="21" thickBot="1" x14ac:dyDescent="0.35">
      <c r="B107" s="189" t="s">
        <v>764</v>
      </c>
      <c r="C107" s="172"/>
      <c r="D107" s="172"/>
      <c r="E107" s="172"/>
      <c r="F107" s="172">
        <v>2015</v>
      </c>
      <c r="G107" s="172"/>
      <c r="H107" s="172"/>
      <c r="I107" s="78"/>
      <c r="J107" s="172"/>
      <c r="K107" s="172"/>
      <c r="L107" s="172"/>
      <c r="M107" s="172">
        <v>2016</v>
      </c>
      <c r="N107" s="172"/>
      <c r="O107" s="172"/>
      <c r="P107" s="78"/>
      <c r="Q107" s="172"/>
      <c r="R107" s="172"/>
      <c r="S107" s="172"/>
      <c r="T107" s="172">
        <v>2017</v>
      </c>
      <c r="U107" s="172"/>
      <c r="V107" s="172"/>
      <c r="W107" s="78"/>
      <c r="X107" s="172"/>
      <c r="Y107" s="172"/>
      <c r="Z107" s="172"/>
      <c r="AA107" s="172" t="s">
        <v>779</v>
      </c>
      <c r="AB107" s="172"/>
      <c r="AC107" s="172"/>
      <c r="AD107" s="78"/>
      <c r="AE107" s="172"/>
      <c r="AF107" s="172"/>
      <c r="AG107" s="172"/>
      <c r="AH107" s="172" t="s">
        <v>963</v>
      </c>
      <c r="AI107" s="172"/>
      <c r="AJ107" s="172"/>
      <c r="AK107" s="78"/>
      <c r="AL107" s="78"/>
      <c r="AM107" s="78"/>
      <c r="AN107" s="78"/>
      <c r="AO107" s="554" t="s">
        <v>1037</v>
      </c>
      <c r="AP107" s="78"/>
      <c r="AQ107" s="78"/>
      <c r="AR107" s="78"/>
      <c r="AS107" s="551"/>
      <c r="AT107" s="551"/>
      <c r="AU107" s="551"/>
      <c r="AV107" s="535" t="s">
        <v>964</v>
      </c>
      <c r="AW107" s="535"/>
      <c r="AX107" s="535"/>
      <c r="AY107" s="535"/>
      <c r="AZ107" s="45"/>
    </row>
    <row r="108" spans="2:52" ht="15" thickBot="1" x14ac:dyDescent="0.25">
      <c r="B108" s="114" t="s">
        <v>740</v>
      </c>
      <c r="C108" s="225" t="s">
        <v>621</v>
      </c>
      <c r="D108" s="225" t="s">
        <v>622</v>
      </c>
      <c r="E108" s="225" t="s">
        <v>623</v>
      </c>
      <c r="F108" s="225" t="s">
        <v>624</v>
      </c>
      <c r="G108" s="225" t="s">
        <v>81</v>
      </c>
      <c r="H108" s="225" t="s">
        <v>625</v>
      </c>
      <c r="I108" s="225" t="s">
        <v>82</v>
      </c>
      <c r="J108" s="73" t="s">
        <v>621</v>
      </c>
      <c r="K108" s="73" t="s">
        <v>622</v>
      </c>
      <c r="L108" s="73" t="s">
        <v>623</v>
      </c>
      <c r="M108" s="73" t="s">
        <v>624</v>
      </c>
      <c r="N108" s="73" t="s">
        <v>81</v>
      </c>
      <c r="O108" s="73" t="s">
        <v>625</v>
      </c>
      <c r="P108" s="192" t="s">
        <v>775</v>
      </c>
      <c r="Q108" s="225" t="s">
        <v>621</v>
      </c>
      <c r="R108" s="225" t="s">
        <v>622</v>
      </c>
      <c r="S108" s="225" t="s">
        <v>623</v>
      </c>
      <c r="T108" s="225" t="s">
        <v>624</v>
      </c>
      <c r="U108" s="225" t="s">
        <v>81</v>
      </c>
      <c r="V108" s="225" t="s">
        <v>625</v>
      </c>
      <c r="W108" s="225" t="s">
        <v>82</v>
      </c>
      <c r="X108" s="73" t="s">
        <v>621</v>
      </c>
      <c r="Y108" s="73" t="s">
        <v>622</v>
      </c>
      <c r="Z108" s="73" t="s">
        <v>623</v>
      </c>
      <c r="AA108" s="73" t="s">
        <v>624</v>
      </c>
      <c r="AB108" s="73" t="s">
        <v>81</v>
      </c>
      <c r="AC108" s="73" t="s">
        <v>625</v>
      </c>
      <c r="AD108" s="73" t="s">
        <v>82</v>
      </c>
      <c r="AE108" s="225" t="s">
        <v>621</v>
      </c>
      <c r="AF108" s="225" t="s">
        <v>622</v>
      </c>
      <c r="AG108" s="225" t="s">
        <v>623</v>
      </c>
      <c r="AH108" s="225" t="s">
        <v>624</v>
      </c>
      <c r="AI108" s="225" t="s">
        <v>81</v>
      </c>
      <c r="AJ108" s="225" t="s">
        <v>625</v>
      </c>
      <c r="AK108" s="225" t="s">
        <v>82</v>
      </c>
      <c r="AL108" s="73" t="s">
        <v>621</v>
      </c>
      <c r="AM108" s="73" t="s">
        <v>622</v>
      </c>
      <c r="AN108" s="73" t="s">
        <v>623</v>
      </c>
      <c r="AO108" s="73" t="s">
        <v>624</v>
      </c>
      <c r="AP108" s="73" t="s">
        <v>81</v>
      </c>
      <c r="AQ108" s="73" t="s">
        <v>625</v>
      </c>
      <c r="AR108" s="73" t="s">
        <v>82</v>
      </c>
      <c r="AS108" s="82" t="s">
        <v>621</v>
      </c>
      <c r="AT108" s="82" t="s">
        <v>622</v>
      </c>
      <c r="AU108" s="82" t="s">
        <v>623</v>
      </c>
      <c r="AV108" s="82" t="s">
        <v>624</v>
      </c>
      <c r="AW108" s="82" t="s">
        <v>81</v>
      </c>
      <c r="AX108" s="82" t="s">
        <v>625</v>
      </c>
      <c r="AY108" s="82" t="s">
        <v>82</v>
      </c>
      <c r="AZ108" s="45"/>
    </row>
    <row r="109" spans="2:52" x14ac:dyDescent="0.2">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80"/>
      <c r="AT109" s="80"/>
      <c r="AU109" s="80"/>
      <c r="AV109" s="80"/>
      <c r="AW109" s="80"/>
      <c r="AX109" s="80"/>
      <c r="AY109" s="80"/>
      <c r="AZ109" s="45"/>
    </row>
    <row r="110" spans="2:52" ht="15" x14ac:dyDescent="0.25">
      <c r="B110" s="231" t="s">
        <v>101</v>
      </c>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80"/>
      <c r="AT110" s="80"/>
      <c r="AU110" s="80"/>
      <c r="AV110" s="80"/>
      <c r="AW110" s="80"/>
      <c r="AX110" s="80"/>
      <c r="AY110" s="80"/>
      <c r="AZ110" s="45"/>
    </row>
    <row r="111" spans="2:52" ht="15" thickBot="1" x14ac:dyDescent="0.2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80"/>
      <c r="AT111" s="80"/>
      <c r="AU111" s="80"/>
      <c r="AV111" s="80"/>
      <c r="AW111" s="80"/>
      <c r="AX111" s="80"/>
      <c r="AY111" s="80"/>
      <c r="AZ111" s="45"/>
    </row>
    <row r="112" spans="2:52" ht="15" thickBot="1" x14ac:dyDescent="0.25">
      <c r="B112" s="64" t="s">
        <v>83</v>
      </c>
      <c r="C112" s="153">
        <v>1676</v>
      </c>
      <c r="D112" s="153">
        <f>E112-C112</f>
        <v>1041</v>
      </c>
      <c r="E112" s="153">
        <v>2717</v>
      </c>
      <c r="F112" s="153">
        <f>G112-E112</f>
        <v>1156</v>
      </c>
      <c r="G112" s="153">
        <v>3873</v>
      </c>
      <c r="H112" s="153">
        <f>I112-G112</f>
        <v>1639</v>
      </c>
      <c r="I112" s="153">
        <v>5512</v>
      </c>
      <c r="J112" s="175">
        <v>1836</v>
      </c>
      <c r="K112" s="175">
        <f>L112-J112</f>
        <v>1275</v>
      </c>
      <c r="L112" s="175">
        <v>3111</v>
      </c>
      <c r="M112" s="175">
        <f>N112-L112</f>
        <v>1251</v>
      </c>
      <c r="N112" s="175">
        <v>4362</v>
      </c>
      <c r="O112" s="175">
        <f>P112-N112</f>
        <v>1669</v>
      </c>
      <c r="P112" s="175">
        <v>6031</v>
      </c>
      <c r="Q112" s="153">
        <v>1636</v>
      </c>
      <c r="R112" s="153">
        <f>S112-Q112</f>
        <v>1185</v>
      </c>
      <c r="S112" s="153">
        <v>2821</v>
      </c>
      <c r="T112" s="153">
        <f>U112-S112</f>
        <v>1114</v>
      </c>
      <c r="U112" s="153">
        <v>3935</v>
      </c>
      <c r="V112" s="153">
        <f>W112-U112</f>
        <v>1657</v>
      </c>
      <c r="W112" s="153">
        <v>5592</v>
      </c>
      <c r="X112" s="175">
        <v>1636</v>
      </c>
      <c r="Y112" s="175">
        <f>Z112-X112</f>
        <v>1185</v>
      </c>
      <c r="Z112" s="175">
        <v>2821</v>
      </c>
      <c r="AA112" s="175">
        <f>AB112-Z112</f>
        <v>1114</v>
      </c>
      <c r="AB112" s="175">
        <v>3935</v>
      </c>
      <c r="AC112" s="175">
        <f>AD112-AB112</f>
        <v>1657</v>
      </c>
      <c r="AD112" s="175">
        <v>5592</v>
      </c>
      <c r="AE112" s="153">
        <v>1657</v>
      </c>
      <c r="AF112" s="153">
        <f>AG112-AE112</f>
        <v>1257</v>
      </c>
      <c r="AG112" s="153">
        <v>2914</v>
      </c>
      <c r="AH112" s="153">
        <f>AI112-AG112</f>
        <v>1365</v>
      </c>
      <c r="AI112" s="153">
        <v>4279</v>
      </c>
      <c r="AJ112" s="153">
        <f>AK112-AI112</f>
        <v>1819</v>
      </c>
      <c r="AK112" s="153">
        <v>6098</v>
      </c>
      <c r="AL112" s="560"/>
      <c r="AM112" s="560"/>
      <c r="AN112" s="175">
        <v>2697</v>
      </c>
      <c r="AO112" s="175"/>
      <c r="AP112" s="175"/>
      <c r="AQ112" s="175"/>
      <c r="AR112" s="175">
        <v>5657</v>
      </c>
      <c r="AS112" s="565">
        <v>1696</v>
      </c>
      <c r="AT112" s="566"/>
      <c r="AU112" s="120">
        <v>2686</v>
      </c>
      <c r="AV112" s="120"/>
      <c r="AW112" s="120"/>
      <c r="AX112" s="120"/>
      <c r="AY112" s="120"/>
      <c r="AZ112" s="45"/>
    </row>
    <row r="113" spans="1:52" ht="15" thickBot="1" x14ac:dyDescent="0.25">
      <c r="B113" s="191"/>
      <c r="C113" s="154"/>
      <c r="D113" s="154"/>
      <c r="E113" s="154"/>
      <c r="F113" s="154"/>
      <c r="G113" s="154"/>
      <c r="H113" s="154"/>
      <c r="I113" s="154"/>
      <c r="J113" s="173"/>
      <c r="K113" s="173"/>
      <c r="L113" s="173"/>
      <c r="M113" s="173"/>
      <c r="N113" s="173"/>
      <c r="O113" s="173"/>
      <c r="P113" s="173"/>
      <c r="Q113" s="154"/>
      <c r="R113" s="154"/>
      <c r="S113" s="154"/>
      <c r="T113" s="154"/>
      <c r="U113" s="154"/>
      <c r="V113" s="154"/>
      <c r="W113" s="154"/>
      <c r="X113" s="173"/>
      <c r="Y113" s="173"/>
      <c r="Z113" s="173"/>
      <c r="AA113" s="173"/>
      <c r="AB113" s="173"/>
      <c r="AC113" s="173"/>
      <c r="AD113" s="173"/>
      <c r="AE113" s="154"/>
      <c r="AF113" s="154"/>
      <c r="AG113" s="154"/>
      <c r="AH113" s="154"/>
      <c r="AI113" s="154"/>
      <c r="AJ113" s="154"/>
      <c r="AK113" s="154"/>
      <c r="AL113" s="195"/>
      <c r="AM113" s="195"/>
      <c r="AN113" s="173"/>
      <c r="AO113" s="173"/>
      <c r="AP113" s="173"/>
      <c r="AQ113" s="173"/>
      <c r="AR113" s="173"/>
      <c r="AS113" s="568"/>
      <c r="AT113" s="567"/>
      <c r="AU113" s="146"/>
      <c r="AV113" s="146"/>
      <c r="AW113" s="146"/>
      <c r="AX113" s="146"/>
      <c r="AY113" s="146"/>
      <c r="AZ113" s="45"/>
    </row>
    <row r="114" spans="1:52" ht="15" thickBot="1" x14ac:dyDescent="0.25">
      <c r="B114" s="214" t="s">
        <v>966</v>
      </c>
      <c r="C114" s="156">
        <v>-37</v>
      </c>
      <c r="D114" s="153">
        <f>E114-C114</f>
        <v>79</v>
      </c>
      <c r="E114" s="153">
        <v>42</v>
      </c>
      <c r="F114" s="153">
        <f>G114-E114</f>
        <v>12</v>
      </c>
      <c r="G114" s="153">
        <v>54</v>
      </c>
      <c r="H114" s="153">
        <f>I114-G114</f>
        <v>1025</v>
      </c>
      <c r="I114" s="153">
        <v>1079</v>
      </c>
      <c r="J114" s="175">
        <v>147</v>
      </c>
      <c r="K114" s="175">
        <f>L114-J114</f>
        <v>113</v>
      </c>
      <c r="L114" s="175">
        <v>260</v>
      </c>
      <c r="M114" s="175">
        <f>N114-L114</f>
        <v>107</v>
      </c>
      <c r="N114" s="175">
        <v>367</v>
      </c>
      <c r="O114" s="175">
        <f>P114-N114</f>
        <v>138</v>
      </c>
      <c r="P114" s="175">
        <v>505</v>
      </c>
      <c r="Q114" s="153">
        <v>181</v>
      </c>
      <c r="R114" s="153">
        <f>S114-Q114</f>
        <v>166</v>
      </c>
      <c r="S114" s="153">
        <v>347</v>
      </c>
      <c r="T114" s="153">
        <f>U114-S114</f>
        <v>133</v>
      </c>
      <c r="U114" s="153">
        <v>480</v>
      </c>
      <c r="V114" s="153">
        <f>W114-U114</f>
        <v>157</v>
      </c>
      <c r="W114" s="153">
        <v>637</v>
      </c>
      <c r="X114" s="175">
        <v>181</v>
      </c>
      <c r="Y114" s="175">
        <f>Z114-X114</f>
        <v>166</v>
      </c>
      <c r="Z114" s="175">
        <v>347</v>
      </c>
      <c r="AA114" s="175">
        <f>AB114-Z114</f>
        <v>133</v>
      </c>
      <c r="AB114" s="175">
        <v>480</v>
      </c>
      <c r="AC114" s="175">
        <f>AD114-AB114</f>
        <v>157</v>
      </c>
      <c r="AD114" s="175">
        <v>637</v>
      </c>
      <c r="AE114" s="237"/>
      <c r="AF114" s="237"/>
      <c r="AG114" s="237"/>
      <c r="AH114" s="237"/>
      <c r="AI114" s="237"/>
      <c r="AJ114" s="237"/>
      <c r="AK114" s="237"/>
      <c r="AL114" s="560"/>
      <c r="AM114" s="560"/>
      <c r="AN114" s="237"/>
      <c r="AO114" s="237"/>
      <c r="AP114" s="237"/>
      <c r="AQ114" s="237"/>
      <c r="AR114" s="237"/>
      <c r="AS114" s="565"/>
      <c r="AT114" s="566"/>
      <c r="AU114" s="120"/>
      <c r="AV114" s="120"/>
      <c r="AW114" s="120"/>
      <c r="AX114" s="120"/>
      <c r="AY114" s="120"/>
      <c r="AZ114" s="45"/>
    </row>
    <row r="115" spans="1:52" x14ac:dyDescent="0.2">
      <c r="B115" s="45" t="s">
        <v>47</v>
      </c>
      <c r="C115" s="154"/>
      <c r="D115" s="154"/>
      <c r="E115" s="154"/>
      <c r="F115" s="154"/>
      <c r="G115" s="154"/>
      <c r="H115" s="154"/>
      <c r="I115" s="154"/>
      <c r="J115" s="173"/>
      <c r="K115" s="173"/>
      <c r="L115" s="173"/>
      <c r="M115" s="173"/>
      <c r="N115" s="173"/>
      <c r="O115" s="173"/>
      <c r="P115" s="173"/>
      <c r="Q115" s="154"/>
      <c r="R115" s="154"/>
      <c r="S115" s="154"/>
      <c r="T115" s="154"/>
      <c r="U115" s="154"/>
      <c r="V115" s="154"/>
      <c r="W115" s="154"/>
      <c r="X115" s="173"/>
      <c r="Y115" s="173"/>
      <c r="Z115" s="173"/>
      <c r="AA115" s="173"/>
      <c r="AB115" s="173"/>
      <c r="AC115" s="173"/>
      <c r="AD115" s="173"/>
      <c r="AE115" s="154"/>
      <c r="AF115" s="154"/>
      <c r="AG115" s="154"/>
      <c r="AH115" s="154"/>
      <c r="AI115" s="154"/>
      <c r="AJ115" s="154"/>
      <c r="AK115" s="154"/>
      <c r="AL115" s="195"/>
      <c r="AM115" s="195"/>
      <c r="AN115" s="173"/>
      <c r="AO115" s="173"/>
      <c r="AP115" s="173"/>
      <c r="AQ115" s="173"/>
      <c r="AR115" s="173"/>
      <c r="AS115" s="568"/>
      <c r="AT115" s="567"/>
      <c r="AU115" s="146"/>
      <c r="AV115" s="146"/>
      <c r="AW115" s="146"/>
      <c r="AX115" s="146"/>
      <c r="AY115" s="146"/>
      <c r="AZ115" s="45"/>
    </row>
    <row r="116" spans="1:52" x14ac:dyDescent="0.2">
      <c r="B116" s="45" t="s">
        <v>48</v>
      </c>
      <c r="C116" s="154">
        <v>65</v>
      </c>
      <c r="D116" s="154">
        <f>E116-C116</f>
        <v>80</v>
      </c>
      <c r="E116" s="154">
        <v>145</v>
      </c>
      <c r="F116" s="154">
        <f>G116-E116</f>
        <v>47</v>
      </c>
      <c r="G116" s="154">
        <v>192</v>
      </c>
      <c r="H116" s="154">
        <f>I116-G116</f>
        <v>51</v>
      </c>
      <c r="I116" s="154">
        <v>243</v>
      </c>
      <c r="J116" s="173">
        <v>37</v>
      </c>
      <c r="K116" s="173">
        <f>L116-J116</f>
        <v>46</v>
      </c>
      <c r="L116" s="173">
        <v>83</v>
      </c>
      <c r="M116" s="173">
        <f>N116-L116</f>
        <v>69</v>
      </c>
      <c r="N116" s="173">
        <v>152</v>
      </c>
      <c r="O116" s="173">
        <f>P116-N116</f>
        <v>30</v>
      </c>
      <c r="P116" s="173">
        <v>182</v>
      </c>
      <c r="Q116" s="154">
        <v>60</v>
      </c>
      <c r="R116" s="154">
        <f>S116-Q116</f>
        <v>83</v>
      </c>
      <c r="S116" s="154">
        <v>143</v>
      </c>
      <c r="T116" s="154">
        <f>U116-S116</f>
        <v>60</v>
      </c>
      <c r="U116" s="154">
        <v>203</v>
      </c>
      <c r="V116" s="154">
        <f>W116-U116</f>
        <v>60</v>
      </c>
      <c r="W116" s="154">
        <v>263</v>
      </c>
      <c r="X116" s="173">
        <v>60</v>
      </c>
      <c r="Y116" s="173">
        <f>Z116-X116</f>
        <v>83</v>
      </c>
      <c r="Z116" s="173">
        <v>143</v>
      </c>
      <c r="AA116" s="173">
        <f>AB116-Z116</f>
        <v>60</v>
      </c>
      <c r="AB116" s="173">
        <v>203</v>
      </c>
      <c r="AC116" s="173">
        <f>AD116-AB116</f>
        <v>60</v>
      </c>
      <c r="AD116" s="173">
        <v>263</v>
      </c>
      <c r="AE116" s="154">
        <v>73</v>
      </c>
      <c r="AF116" s="154">
        <f>AG116-AE116</f>
        <v>96</v>
      </c>
      <c r="AG116" s="154">
        <v>169</v>
      </c>
      <c r="AH116" s="154">
        <f>AI116-AG116</f>
        <v>114</v>
      </c>
      <c r="AI116" s="154">
        <v>283</v>
      </c>
      <c r="AJ116" s="154">
        <f>AK116-AI116</f>
        <v>84</v>
      </c>
      <c r="AK116" s="154">
        <v>367</v>
      </c>
      <c r="AL116" s="195"/>
      <c r="AM116" s="195"/>
      <c r="AN116" s="195"/>
      <c r="AO116" s="173"/>
      <c r="AP116" s="173"/>
      <c r="AQ116" s="173"/>
      <c r="AR116" s="195"/>
      <c r="AS116" s="561">
        <v>77</v>
      </c>
      <c r="AT116" s="195"/>
      <c r="AU116" s="195"/>
      <c r="AV116" s="146"/>
      <c r="AW116" s="146"/>
      <c r="AX116" s="146"/>
      <c r="AY116" s="146"/>
      <c r="AZ116" s="45"/>
    </row>
    <row r="117" spans="1:52" ht="15" thickBot="1" x14ac:dyDescent="0.25">
      <c r="B117" s="45" t="s">
        <v>49</v>
      </c>
      <c r="C117" s="155">
        <v>-102</v>
      </c>
      <c r="D117" s="155">
        <f>E117-C117</f>
        <v>-1</v>
      </c>
      <c r="E117" s="155">
        <v>-103</v>
      </c>
      <c r="F117" s="155">
        <f>G117-E117</f>
        <v>-35</v>
      </c>
      <c r="G117" s="155">
        <v>-138</v>
      </c>
      <c r="H117" s="154">
        <f>I117-G117</f>
        <v>974</v>
      </c>
      <c r="I117" s="154">
        <v>836</v>
      </c>
      <c r="J117" s="173">
        <v>110</v>
      </c>
      <c r="K117" s="173">
        <f>L117-J117</f>
        <v>67</v>
      </c>
      <c r="L117" s="173">
        <v>177</v>
      </c>
      <c r="M117" s="173">
        <f>N117-L117</f>
        <v>38</v>
      </c>
      <c r="N117" s="173">
        <v>215</v>
      </c>
      <c r="O117" s="173">
        <f>P117-N117</f>
        <v>108</v>
      </c>
      <c r="P117" s="173">
        <v>323</v>
      </c>
      <c r="Q117" s="154">
        <v>121</v>
      </c>
      <c r="R117" s="154">
        <f>S117-Q117</f>
        <v>83</v>
      </c>
      <c r="S117" s="154">
        <v>204</v>
      </c>
      <c r="T117" s="154">
        <f>U117-S117</f>
        <v>73</v>
      </c>
      <c r="U117" s="154">
        <v>277</v>
      </c>
      <c r="V117" s="154">
        <f>W117-U117</f>
        <v>97</v>
      </c>
      <c r="W117" s="154">
        <v>374</v>
      </c>
      <c r="X117" s="173">
        <v>121</v>
      </c>
      <c r="Y117" s="173">
        <f>Z117-X117</f>
        <v>83</v>
      </c>
      <c r="Z117" s="173">
        <v>204</v>
      </c>
      <c r="AA117" s="173">
        <f>AB117-Z117</f>
        <v>73</v>
      </c>
      <c r="AB117" s="173">
        <v>277</v>
      </c>
      <c r="AC117" s="173">
        <f>AD117-AB117</f>
        <v>97</v>
      </c>
      <c r="AD117" s="173">
        <v>374</v>
      </c>
      <c r="AE117" s="154">
        <v>60</v>
      </c>
      <c r="AF117" s="154">
        <f>AG117-AE117</f>
        <v>50</v>
      </c>
      <c r="AG117" s="154">
        <v>110</v>
      </c>
      <c r="AH117" s="154">
        <f>AI117-AG117</f>
        <v>51</v>
      </c>
      <c r="AI117" s="154">
        <v>161</v>
      </c>
      <c r="AJ117" s="154">
        <f>AK117-AI117</f>
        <v>42</v>
      </c>
      <c r="AK117" s="154">
        <v>203</v>
      </c>
      <c r="AL117" s="195"/>
      <c r="AM117" s="195"/>
      <c r="AN117" s="173">
        <v>110</v>
      </c>
      <c r="AO117" s="173"/>
      <c r="AP117" s="173"/>
      <c r="AQ117" s="173"/>
      <c r="AR117" s="173">
        <v>203</v>
      </c>
      <c r="AS117" s="561">
        <v>80</v>
      </c>
      <c r="AT117" s="195"/>
      <c r="AU117" s="146">
        <v>146</v>
      </c>
      <c r="AV117" s="146"/>
      <c r="AW117" s="146"/>
      <c r="AX117" s="146"/>
      <c r="AY117" s="146"/>
      <c r="AZ117" s="45"/>
    </row>
    <row r="118" spans="1:52" ht="15" thickBot="1" x14ac:dyDescent="0.25">
      <c r="B118" s="64" t="s">
        <v>1</v>
      </c>
      <c r="C118" s="156">
        <v>-23</v>
      </c>
      <c r="D118" s="153">
        <f>E118-C118</f>
        <v>70</v>
      </c>
      <c r="E118" s="153">
        <v>47</v>
      </c>
      <c r="F118" s="156">
        <f>G118-E118</f>
        <v>-31</v>
      </c>
      <c r="G118" s="153">
        <v>16</v>
      </c>
      <c r="H118" s="153">
        <f>I118-G118</f>
        <v>979</v>
      </c>
      <c r="I118" s="153">
        <v>995</v>
      </c>
      <c r="J118" s="175">
        <v>119</v>
      </c>
      <c r="K118" s="175">
        <f>L118-J118</f>
        <v>74</v>
      </c>
      <c r="L118" s="175">
        <v>193</v>
      </c>
      <c r="M118" s="175">
        <f>N118-L118</f>
        <v>67</v>
      </c>
      <c r="N118" s="175">
        <v>260</v>
      </c>
      <c r="O118" s="175">
        <f>P118-N118</f>
        <v>101</v>
      </c>
      <c r="P118" s="175">
        <v>361</v>
      </c>
      <c r="Q118" s="153">
        <v>175</v>
      </c>
      <c r="R118" s="153">
        <f>S118-Q118</f>
        <v>161</v>
      </c>
      <c r="S118" s="153">
        <v>336</v>
      </c>
      <c r="T118" s="153">
        <f>U118-S118</f>
        <v>126</v>
      </c>
      <c r="U118" s="153">
        <v>462</v>
      </c>
      <c r="V118" s="153">
        <f>W118-U118</f>
        <v>151</v>
      </c>
      <c r="W118" s="153">
        <v>613</v>
      </c>
      <c r="X118" s="175">
        <v>175</v>
      </c>
      <c r="Y118" s="175">
        <f>Z118-X118</f>
        <v>161</v>
      </c>
      <c r="Z118" s="175">
        <v>336</v>
      </c>
      <c r="AA118" s="175">
        <f>AB118-Z118</f>
        <v>126</v>
      </c>
      <c r="AB118" s="175">
        <v>462</v>
      </c>
      <c r="AC118" s="175">
        <f>AD118-AB118</f>
        <v>151</v>
      </c>
      <c r="AD118" s="175">
        <v>613</v>
      </c>
      <c r="AE118" s="153">
        <v>133</v>
      </c>
      <c r="AF118" s="153">
        <f>AG118-AE118</f>
        <v>146</v>
      </c>
      <c r="AG118" s="153">
        <v>279</v>
      </c>
      <c r="AH118" s="153">
        <f>AI118-AG118</f>
        <v>165</v>
      </c>
      <c r="AI118" s="153">
        <v>444</v>
      </c>
      <c r="AJ118" s="153">
        <f>AK118-AI118</f>
        <v>126</v>
      </c>
      <c r="AK118" s="153">
        <v>570</v>
      </c>
      <c r="AL118" s="560"/>
      <c r="AM118" s="560"/>
      <c r="AN118" s="175">
        <f>+AN116+AN117</f>
        <v>110</v>
      </c>
      <c r="AO118" s="175"/>
      <c r="AP118" s="175"/>
      <c r="AQ118" s="175"/>
      <c r="AR118" s="175">
        <f>+AR116+AR117</f>
        <v>203</v>
      </c>
      <c r="AS118" s="565">
        <v>157</v>
      </c>
      <c r="AT118" s="566"/>
      <c r="AU118" s="120">
        <f>+AU117</f>
        <v>146</v>
      </c>
      <c r="AV118" s="120"/>
      <c r="AW118" s="120"/>
      <c r="AX118" s="120"/>
      <c r="AY118" s="120"/>
      <c r="AZ118" s="45"/>
    </row>
    <row r="119" spans="1:52" x14ac:dyDescent="0.2">
      <c r="B119" s="191"/>
      <c r="C119" s="154"/>
      <c r="D119" s="154"/>
      <c r="E119" s="154"/>
      <c r="F119" s="154"/>
      <c r="G119" s="154"/>
      <c r="H119" s="154"/>
      <c r="I119" s="154"/>
      <c r="J119" s="173"/>
      <c r="K119" s="173"/>
      <c r="L119" s="173"/>
      <c r="M119" s="173"/>
      <c r="N119" s="173"/>
      <c r="O119" s="173"/>
      <c r="P119" s="173"/>
      <c r="Q119" s="154"/>
      <c r="R119" s="154"/>
      <c r="S119" s="154"/>
      <c r="T119" s="154"/>
      <c r="U119" s="154"/>
      <c r="V119" s="154"/>
      <c r="W119" s="154"/>
      <c r="X119" s="173"/>
      <c r="Y119" s="173"/>
      <c r="Z119" s="173"/>
      <c r="AA119" s="173"/>
      <c r="AB119" s="173"/>
      <c r="AC119" s="173"/>
      <c r="AD119" s="173"/>
      <c r="AE119" s="154"/>
      <c r="AF119" s="154"/>
      <c r="AG119" s="154"/>
      <c r="AH119" s="154"/>
      <c r="AI119" s="154"/>
      <c r="AJ119" s="154"/>
      <c r="AK119" s="154"/>
      <c r="AL119" s="195"/>
      <c r="AM119" s="195"/>
      <c r="AN119" s="173"/>
      <c r="AO119" s="173"/>
      <c r="AP119" s="173"/>
      <c r="AQ119" s="173"/>
      <c r="AR119" s="195"/>
      <c r="AS119" s="195"/>
      <c r="AT119" s="195"/>
      <c r="AU119" s="146"/>
      <c r="AV119" s="146"/>
      <c r="AW119" s="146"/>
      <c r="AX119" s="146"/>
      <c r="AY119" s="146"/>
      <c r="AZ119" s="45"/>
    </row>
    <row r="120" spans="1:52" x14ac:dyDescent="0.2">
      <c r="B120" s="80" t="s">
        <v>27</v>
      </c>
      <c r="C120" s="150">
        <v>-17</v>
      </c>
      <c r="D120" s="150">
        <f>E120-C120</f>
        <v>-37</v>
      </c>
      <c r="E120" s="150">
        <v>-54</v>
      </c>
      <c r="F120" s="146">
        <f>G120-E120</f>
        <v>90</v>
      </c>
      <c r="G120" s="146">
        <v>36</v>
      </c>
      <c r="H120" s="146">
        <f>I120-G120</f>
        <v>141</v>
      </c>
      <c r="I120" s="146">
        <v>177</v>
      </c>
      <c r="J120" s="196">
        <v>-90</v>
      </c>
      <c r="K120" s="173">
        <f>L120-J120</f>
        <v>13</v>
      </c>
      <c r="L120" s="196">
        <v>-77</v>
      </c>
      <c r="M120" s="196">
        <f>N120-L120</f>
        <v>-61</v>
      </c>
      <c r="N120" s="196">
        <v>-138</v>
      </c>
      <c r="O120" s="196">
        <f>P120-N120</f>
        <v>-39</v>
      </c>
      <c r="P120" s="196">
        <v>-177</v>
      </c>
      <c r="Q120" s="236"/>
      <c r="R120" s="236"/>
      <c r="S120" s="155">
        <v>-166</v>
      </c>
      <c r="T120" s="236"/>
      <c r="U120" s="236"/>
      <c r="V120" s="236"/>
      <c r="W120" s="155">
        <v>-225</v>
      </c>
      <c r="X120" s="236"/>
      <c r="Y120" s="236"/>
      <c r="Z120" s="196">
        <v>-166</v>
      </c>
      <c r="AA120" s="236"/>
      <c r="AB120" s="236"/>
      <c r="AC120" s="236"/>
      <c r="AD120" s="196">
        <v>-225</v>
      </c>
      <c r="AE120" s="236"/>
      <c r="AF120" s="236"/>
      <c r="AG120" s="154">
        <v>0</v>
      </c>
      <c r="AH120" s="236"/>
      <c r="AI120" s="236"/>
      <c r="AJ120" s="236"/>
      <c r="AK120" s="155">
        <v>-5</v>
      </c>
      <c r="AL120" s="195"/>
      <c r="AM120" s="195"/>
      <c r="AN120" s="196"/>
      <c r="AO120" s="196"/>
      <c r="AP120" s="196"/>
      <c r="AQ120" s="196"/>
      <c r="AR120" s="195"/>
      <c r="AS120" s="195"/>
      <c r="AT120" s="195"/>
      <c r="AU120" s="146">
        <v>5</v>
      </c>
      <c r="AV120" s="146"/>
      <c r="AW120" s="146"/>
      <c r="AX120" s="146"/>
      <c r="AY120" s="146"/>
      <c r="AZ120" s="45"/>
    </row>
    <row r="121" spans="1:52" x14ac:dyDescent="0.2">
      <c r="B121" s="80" t="s">
        <v>93</v>
      </c>
      <c r="C121" s="150">
        <v>-90</v>
      </c>
      <c r="D121" s="150">
        <f>E121-C121</f>
        <v>-80</v>
      </c>
      <c r="E121" s="150">
        <v>-170</v>
      </c>
      <c r="F121" s="150">
        <f>G121-E121</f>
        <v>-90</v>
      </c>
      <c r="G121" s="150">
        <v>-260</v>
      </c>
      <c r="H121" s="150">
        <f>I121-G121</f>
        <v>-141</v>
      </c>
      <c r="I121" s="150">
        <v>-401</v>
      </c>
      <c r="J121" s="196">
        <v>-69</v>
      </c>
      <c r="K121" s="196">
        <f>L121-J121</f>
        <v>-66</v>
      </c>
      <c r="L121" s="196">
        <v>-135</v>
      </c>
      <c r="M121" s="196">
        <f>N121-L121</f>
        <v>-65</v>
      </c>
      <c r="N121" s="196">
        <v>-200</v>
      </c>
      <c r="O121" s="196">
        <f>P121-N121</f>
        <v>-59</v>
      </c>
      <c r="P121" s="196">
        <v>-259</v>
      </c>
      <c r="Q121" s="155">
        <v>-64</v>
      </c>
      <c r="R121" s="155">
        <f>S121-Q121</f>
        <v>-60</v>
      </c>
      <c r="S121" s="155">
        <v>-124</v>
      </c>
      <c r="T121" s="236"/>
      <c r="U121" s="236"/>
      <c r="V121" s="236"/>
      <c r="W121" s="155">
        <v>-252</v>
      </c>
      <c r="X121" s="236"/>
      <c r="Y121" s="236"/>
      <c r="Z121" s="196">
        <v>-124</v>
      </c>
      <c r="AA121" s="236"/>
      <c r="AB121" s="236"/>
      <c r="AC121" s="236"/>
      <c r="AD121" s="196">
        <v>-252</v>
      </c>
      <c r="AE121" s="155">
        <f>-28-18</f>
        <v>-46</v>
      </c>
      <c r="AF121" s="155">
        <f>AG121-AE121</f>
        <v>-55</v>
      </c>
      <c r="AG121" s="155">
        <f>-122-AG122</f>
        <v>-101</v>
      </c>
      <c r="AH121" s="236"/>
      <c r="AI121" s="236"/>
      <c r="AJ121" s="236"/>
      <c r="AK121" s="155">
        <v>-227</v>
      </c>
      <c r="AL121" s="195"/>
      <c r="AM121" s="195"/>
      <c r="AN121" s="196">
        <v>-13</v>
      </c>
      <c r="AO121" s="196"/>
      <c r="AP121" s="196"/>
      <c r="AQ121" s="196"/>
      <c r="AR121" s="195"/>
      <c r="AS121" s="195">
        <f>-29-18</f>
        <v>-47</v>
      </c>
      <c r="AT121" s="195"/>
      <c r="AU121" s="571">
        <v>-16</v>
      </c>
      <c r="AV121" s="146"/>
      <c r="AW121" s="146"/>
      <c r="AX121" s="146"/>
      <c r="AY121" s="146"/>
      <c r="AZ121" s="45"/>
    </row>
    <row r="122" spans="1:52" x14ac:dyDescent="0.2">
      <c r="B122" s="80" t="s">
        <v>847</v>
      </c>
      <c r="C122" s="236"/>
      <c r="D122" s="236"/>
      <c r="E122" s="150">
        <v>-11</v>
      </c>
      <c r="F122" s="146">
        <f>G122-E122</f>
        <v>0</v>
      </c>
      <c r="G122" s="150">
        <v>-11</v>
      </c>
      <c r="H122" s="150">
        <f>I122-G122</f>
        <v>-454</v>
      </c>
      <c r="I122" s="150">
        <v>-465</v>
      </c>
      <c r="J122" s="173"/>
      <c r="K122" s="173"/>
      <c r="L122" s="173">
        <v>0</v>
      </c>
      <c r="M122" s="173">
        <f>N122-L122</f>
        <v>0</v>
      </c>
      <c r="N122" s="173">
        <v>0</v>
      </c>
      <c r="O122" s="196">
        <f>P122-N122</f>
        <v>-254</v>
      </c>
      <c r="P122" s="196">
        <v>-254</v>
      </c>
      <c r="Q122" s="236"/>
      <c r="R122" s="236"/>
      <c r="S122" s="155">
        <v>0</v>
      </c>
      <c r="T122" s="236"/>
      <c r="U122" s="236"/>
      <c r="V122" s="236"/>
      <c r="W122" s="155">
        <v>-120</v>
      </c>
      <c r="X122" s="236"/>
      <c r="Y122" s="236"/>
      <c r="Z122" s="196">
        <v>0</v>
      </c>
      <c r="AA122" s="236"/>
      <c r="AB122" s="236"/>
      <c r="AC122" s="236"/>
      <c r="AD122" s="196">
        <v>-120</v>
      </c>
      <c r="AE122" s="236"/>
      <c r="AF122" s="236"/>
      <c r="AG122" s="155">
        <v>-21</v>
      </c>
      <c r="AH122" s="236"/>
      <c r="AI122" s="236"/>
      <c r="AJ122" s="236"/>
      <c r="AK122" s="155">
        <v>-99</v>
      </c>
      <c r="AL122" s="195"/>
      <c r="AM122" s="195"/>
      <c r="AN122" s="196">
        <v>-2</v>
      </c>
      <c r="AO122" s="196"/>
      <c r="AP122" s="196"/>
      <c r="AQ122" s="196"/>
      <c r="AR122" s="195"/>
      <c r="AS122" s="195"/>
      <c r="AT122" s="195"/>
      <c r="AU122" s="146"/>
      <c r="AV122" s="146"/>
      <c r="AW122" s="146"/>
      <c r="AX122" s="146"/>
      <c r="AY122" s="146"/>
      <c r="AZ122" s="45"/>
    </row>
    <row r="123" spans="1:52" s="105" customFormat="1" ht="15" thickBot="1" x14ac:dyDescent="0.25">
      <c r="A123" s="13"/>
      <c r="B123" s="80"/>
      <c r="C123" s="146"/>
      <c r="D123" s="146"/>
      <c r="E123" s="146"/>
      <c r="F123" s="146"/>
      <c r="G123" s="146"/>
      <c r="H123" s="146"/>
      <c r="I123" s="146"/>
      <c r="J123" s="173"/>
      <c r="K123" s="173"/>
      <c r="L123" s="173"/>
      <c r="M123" s="173"/>
      <c r="N123" s="173"/>
      <c r="O123" s="173"/>
      <c r="P123" s="173"/>
      <c r="Q123" s="154"/>
      <c r="R123" s="154"/>
      <c r="S123" s="154"/>
      <c r="T123" s="154"/>
      <c r="U123" s="154"/>
      <c r="V123" s="154"/>
      <c r="W123" s="154"/>
      <c r="X123" s="173"/>
      <c r="Y123" s="173"/>
      <c r="Z123" s="173"/>
      <c r="AA123" s="173"/>
      <c r="AB123" s="173"/>
      <c r="AC123" s="173"/>
      <c r="AD123" s="173"/>
      <c r="AE123" s="154"/>
      <c r="AF123" s="154"/>
      <c r="AG123" s="154"/>
      <c r="AH123" s="154"/>
      <c r="AI123" s="154"/>
      <c r="AJ123" s="154"/>
      <c r="AK123" s="154"/>
      <c r="AL123" s="195"/>
      <c r="AM123" s="195"/>
      <c r="AN123" s="173"/>
      <c r="AO123" s="173"/>
      <c r="AP123" s="173"/>
      <c r="AQ123" s="173"/>
      <c r="AR123" s="195"/>
      <c r="AS123" s="195"/>
      <c r="AT123" s="195"/>
      <c r="AU123" s="146"/>
      <c r="AV123" s="146"/>
      <c r="AW123" s="146"/>
      <c r="AX123" s="146"/>
      <c r="AY123" s="146"/>
      <c r="AZ123" s="80"/>
    </row>
    <row r="124" spans="1:52" ht="15" thickBot="1" x14ac:dyDescent="0.25">
      <c r="B124" s="81" t="s">
        <v>44</v>
      </c>
      <c r="C124" s="152">
        <v>-130</v>
      </c>
      <c r="D124" s="152">
        <f>E124-C124</f>
        <v>-58</v>
      </c>
      <c r="E124" s="152">
        <v>-188</v>
      </c>
      <c r="F124" s="152">
        <f>G124-E124</f>
        <v>-31</v>
      </c>
      <c r="G124" s="152">
        <v>-219</v>
      </c>
      <c r="H124" s="120">
        <f>I124-G124</f>
        <v>525</v>
      </c>
      <c r="I124" s="120">
        <v>306</v>
      </c>
      <c r="J124" s="197">
        <v>-40</v>
      </c>
      <c r="K124" s="175">
        <f>L124-J124</f>
        <v>21</v>
      </c>
      <c r="L124" s="197">
        <v>-19</v>
      </c>
      <c r="M124" s="197">
        <f>N124-L124</f>
        <v>-59</v>
      </c>
      <c r="N124" s="197">
        <v>-78</v>
      </c>
      <c r="O124" s="197">
        <f>P124-N124</f>
        <v>-251</v>
      </c>
      <c r="P124" s="197">
        <v>-329</v>
      </c>
      <c r="Q124" s="237"/>
      <c r="R124" s="237"/>
      <c r="S124" s="153">
        <v>46</v>
      </c>
      <c r="T124" s="237"/>
      <c r="U124" s="237"/>
      <c r="V124" s="237"/>
      <c r="W124" s="153">
        <v>16</v>
      </c>
      <c r="X124" s="237"/>
      <c r="Y124" s="237"/>
      <c r="Z124" s="175">
        <v>46</v>
      </c>
      <c r="AA124" s="237"/>
      <c r="AB124" s="237"/>
      <c r="AC124" s="237"/>
      <c r="AD124" s="175">
        <v>16</v>
      </c>
      <c r="AE124" s="237"/>
      <c r="AF124" s="237"/>
      <c r="AG124" s="153">
        <v>157</v>
      </c>
      <c r="AH124" s="237"/>
      <c r="AI124" s="237"/>
      <c r="AJ124" s="237"/>
      <c r="AK124" s="153">
        <v>239</v>
      </c>
      <c r="AL124" s="560"/>
      <c r="AM124" s="560"/>
      <c r="AN124" s="175">
        <f>+AN118+SUM(AN120:AN122)</f>
        <v>95</v>
      </c>
      <c r="AO124" s="175"/>
      <c r="AP124" s="175"/>
      <c r="AQ124" s="175"/>
      <c r="AR124" s="560"/>
      <c r="AS124" s="565">
        <v>120</v>
      </c>
      <c r="AT124" s="564"/>
      <c r="AU124" s="120">
        <f>+AU118+SUM(AU120:AU122)</f>
        <v>135</v>
      </c>
      <c r="AV124" s="120"/>
      <c r="AW124" s="120"/>
      <c r="AX124" s="120"/>
      <c r="AY124" s="120"/>
      <c r="AZ124" s="45"/>
    </row>
    <row r="125" spans="1:52" s="105" customFormat="1" ht="15" thickBot="1" x14ac:dyDescent="0.25">
      <c r="A125" s="13"/>
      <c r="B125" s="84"/>
      <c r="C125" s="146"/>
      <c r="D125" s="146"/>
      <c r="E125" s="146"/>
      <c r="F125" s="146"/>
      <c r="G125" s="146"/>
      <c r="H125" s="146"/>
      <c r="I125" s="146"/>
      <c r="J125" s="173"/>
      <c r="K125" s="173"/>
      <c r="L125" s="173"/>
      <c r="M125" s="173"/>
      <c r="N125" s="173"/>
      <c r="O125" s="173"/>
      <c r="P125" s="173"/>
      <c r="Q125" s="154"/>
      <c r="R125" s="154"/>
      <c r="S125" s="154"/>
      <c r="T125" s="154"/>
      <c r="U125" s="154"/>
      <c r="V125" s="154"/>
      <c r="W125" s="154"/>
      <c r="X125" s="173"/>
      <c r="Y125" s="173"/>
      <c r="Z125" s="173"/>
      <c r="AA125" s="173"/>
      <c r="AB125" s="173"/>
      <c r="AC125" s="173"/>
      <c r="AD125" s="173"/>
      <c r="AE125" s="154"/>
      <c r="AF125" s="154"/>
      <c r="AG125" s="154"/>
      <c r="AH125" s="154"/>
      <c r="AI125" s="154"/>
      <c r="AJ125" s="154"/>
      <c r="AK125" s="154"/>
      <c r="AL125" s="195"/>
      <c r="AM125" s="195"/>
      <c r="AN125" s="173"/>
      <c r="AO125" s="173"/>
      <c r="AP125" s="173"/>
      <c r="AQ125" s="173"/>
      <c r="AR125" s="195"/>
      <c r="AS125" s="561"/>
      <c r="AT125" s="561"/>
      <c r="AU125" s="146"/>
      <c r="AV125" s="146"/>
      <c r="AW125" s="146"/>
      <c r="AX125" s="146"/>
      <c r="AY125" s="146"/>
      <c r="AZ125" s="80"/>
    </row>
    <row r="126" spans="1:52" x14ac:dyDescent="0.2">
      <c r="B126" s="144" t="s">
        <v>981</v>
      </c>
      <c r="C126" s="148">
        <v>94</v>
      </c>
      <c r="D126" s="148">
        <f>E126-C126</f>
        <v>150</v>
      </c>
      <c r="E126" s="148">
        <v>244</v>
      </c>
      <c r="F126" s="148">
        <f>G126-E126</f>
        <v>118</v>
      </c>
      <c r="G126" s="148">
        <v>362</v>
      </c>
      <c r="H126" s="148">
        <f>I126-G126</f>
        <v>117</v>
      </c>
      <c r="I126" s="148">
        <v>479</v>
      </c>
      <c r="J126" s="208">
        <v>86</v>
      </c>
      <c r="K126" s="208">
        <f>L126-J126</f>
        <v>73</v>
      </c>
      <c r="L126" s="208">
        <v>159</v>
      </c>
      <c r="M126" s="235">
        <f>N126-L126</f>
        <v>-9</v>
      </c>
      <c r="N126" s="208">
        <v>150</v>
      </c>
      <c r="O126" s="208">
        <f>P126-N126</f>
        <v>142</v>
      </c>
      <c r="P126" s="208">
        <v>292</v>
      </c>
      <c r="Q126" s="238"/>
      <c r="R126" s="238"/>
      <c r="S126" s="207">
        <v>161</v>
      </c>
      <c r="T126" s="238"/>
      <c r="U126" s="238"/>
      <c r="V126" s="238"/>
      <c r="W126" s="207">
        <v>310</v>
      </c>
      <c r="X126" s="238"/>
      <c r="Y126" s="238"/>
      <c r="Z126" s="208">
        <v>161</v>
      </c>
      <c r="AA126" s="238"/>
      <c r="AB126" s="238"/>
      <c r="AC126" s="238"/>
      <c r="AD126" s="208">
        <v>310</v>
      </c>
      <c r="AE126" s="238"/>
      <c r="AF126" s="238"/>
      <c r="AG126" s="207">
        <v>110</v>
      </c>
      <c r="AH126" s="238"/>
      <c r="AI126" s="238"/>
      <c r="AJ126" s="238"/>
      <c r="AK126" s="207">
        <v>291</v>
      </c>
      <c r="AL126" s="559"/>
      <c r="AM126" s="559"/>
      <c r="AN126" s="208">
        <v>110</v>
      </c>
      <c r="AO126" s="208"/>
      <c r="AP126" s="208"/>
      <c r="AQ126" s="208"/>
      <c r="AR126" s="559"/>
      <c r="AS126" s="563">
        <v>33</v>
      </c>
      <c r="AT126" s="563"/>
      <c r="AU126" s="148">
        <v>6</v>
      </c>
      <c r="AV126" s="148"/>
      <c r="AW126" s="148"/>
      <c r="AX126" s="148"/>
      <c r="AY126" s="148"/>
      <c r="AZ126" s="45"/>
    </row>
    <row r="127" spans="1:52" x14ac:dyDescent="0.2">
      <c r="B127" s="80" t="s">
        <v>78</v>
      </c>
      <c r="C127" s="146">
        <v>1428</v>
      </c>
      <c r="D127" s="150">
        <f>E127-C127</f>
        <v>-13</v>
      </c>
      <c r="E127" s="146">
        <v>1415</v>
      </c>
      <c r="F127" s="146">
        <f>G127-E127</f>
        <v>1</v>
      </c>
      <c r="G127" s="146">
        <v>1416</v>
      </c>
      <c r="H127" s="150">
        <f>I127-G127</f>
        <v>-2</v>
      </c>
      <c r="I127" s="146">
        <v>1414</v>
      </c>
      <c r="J127" s="173">
        <v>1395</v>
      </c>
      <c r="K127" s="196">
        <f>L127-J127</f>
        <v>-13</v>
      </c>
      <c r="L127" s="173">
        <v>1382</v>
      </c>
      <c r="M127" s="196">
        <f>N127-L127</f>
        <v>-14</v>
      </c>
      <c r="N127" s="173">
        <v>1368</v>
      </c>
      <c r="O127" s="173">
        <f>P127-N127</f>
        <v>11</v>
      </c>
      <c r="P127" s="173">
        <v>1379</v>
      </c>
      <c r="Q127" s="236"/>
      <c r="R127" s="236"/>
      <c r="S127" s="154">
        <v>1352</v>
      </c>
      <c r="T127" s="236"/>
      <c r="U127" s="236"/>
      <c r="V127" s="236"/>
      <c r="W127" s="154">
        <v>1359</v>
      </c>
      <c r="X127" s="236"/>
      <c r="Y127" s="236"/>
      <c r="Z127" s="173">
        <v>1352</v>
      </c>
      <c r="AA127" s="236"/>
      <c r="AB127" s="236"/>
      <c r="AC127" s="236"/>
      <c r="AD127" s="173">
        <v>1359</v>
      </c>
      <c r="AE127" s="236"/>
      <c r="AF127" s="236"/>
      <c r="AG127" s="154">
        <v>1439</v>
      </c>
      <c r="AH127" s="236"/>
      <c r="AI127" s="236"/>
      <c r="AJ127" s="236"/>
      <c r="AK127" s="154">
        <v>1437</v>
      </c>
      <c r="AL127" s="195"/>
      <c r="AM127" s="195"/>
      <c r="AN127" s="173">
        <v>1439</v>
      </c>
      <c r="AO127" s="173"/>
      <c r="AP127" s="173"/>
      <c r="AQ127" s="173"/>
      <c r="AR127" s="195"/>
      <c r="AS127" s="561"/>
      <c r="AT127" s="561"/>
      <c r="AU127" s="146">
        <v>494</v>
      </c>
      <c r="AV127" s="146"/>
      <c r="AW127" s="146"/>
      <c r="AX127" s="146"/>
      <c r="AY127" s="146"/>
      <c r="AZ127" s="45"/>
    </row>
    <row r="128" spans="1:52" ht="15" thickBot="1" x14ac:dyDescent="0.25">
      <c r="B128" s="170" t="s">
        <v>1034</v>
      </c>
      <c r="C128" s="239"/>
      <c r="D128" s="239"/>
      <c r="E128" s="239"/>
      <c r="F128" s="239"/>
      <c r="G128" s="239"/>
      <c r="H128" s="239"/>
      <c r="I128" s="239"/>
      <c r="J128" s="239"/>
      <c r="K128" s="239"/>
      <c r="L128" s="239"/>
      <c r="M128" s="239"/>
      <c r="N128" s="239"/>
      <c r="O128" s="239"/>
      <c r="P128" s="239"/>
      <c r="Q128" s="239"/>
      <c r="R128" s="239"/>
      <c r="S128" s="239"/>
      <c r="T128" s="239"/>
      <c r="U128" s="239"/>
      <c r="V128" s="239"/>
      <c r="W128" s="239"/>
      <c r="X128" s="239"/>
      <c r="Y128" s="239"/>
      <c r="Z128" s="239"/>
      <c r="AA128" s="239"/>
      <c r="AB128" s="239"/>
      <c r="AC128" s="239"/>
      <c r="AD128" s="239"/>
      <c r="AE128" s="239"/>
      <c r="AF128" s="239"/>
      <c r="AG128" s="239"/>
      <c r="AH128" s="239"/>
      <c r="AI128" s="239"/>
      <c r="AJ128" s="239"/>
      <c r="AK128" s="239"/>
      <c r="AL128" s="239"/>
      <c r="AM128" s="239"/>
      <c r="AN128" s="239"/>
      <c r="AO128" s="239"/>
      <c r="AP128" s="239"/>
      <c r="AQ128" s="239"/>
      <c r="AR128" s="239"/>
      <c r="AS128" s="239"/>
      <c r="AT128" s="239"/>
      <c r="AU128" s="174">
        <v>964</v>
      </c>
      <c r="AV128" s="174"/>
      <c r="AW128" s="174"/>
      <c r="AX128" s="174"/>
      <c r="AY128" s="174"/>
      <c r="AZ128" s="45"/>
    </row>
    <row r="129" spans="2:52" x14ac:dyDescent="0.2">
      <c r="B129" s="45"/>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46"/>
      <c r="AU129" s="146"/>
      <c r="AV129" s="146"/>
      <c r="AW129" s="146"/>
      <c r="AX129" s="146"/>
      <c r="AY129" s="146"/>
      <c r="AZ129" s="45"/>
    </row>
    <row r="130" spans="2:52" x14ac:dyDescent="0.2">
      <c r="B130" s="45"/>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46"/>
      <c r="AU130" s="146"/>
      <c r="AV130" s="146"/>
      <c r="AW130" s="146"/>
      <c r="AX130" s="146"/>
      <c r="AY130" s="146"/>
      <c r="AZ130" s="45"/>
    </row>
    <row r="131" spans="2:52" ht="15" x14ac:dyDescent="0.25">
      <c r="B131" s="231" t="s">
        <v>85</v>
      </c>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46"/>
      <c r="AU131" s="146"/>
      <c r="AV131" s="146"/>
      <c r="AW131" s="146"/>
      <c r="AX131" s="146"/>
      <c r="AY131" s="146"/>
      <c r="AZ131" s="45"/>
    </row>
    <row r="132" spans="2:52" x14ac:dyDescent="0.2">
      <c r="B132" s="45"/>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46"/>
      <c r="AU132" s="146"/>
      <c r="AV132" s="146"/>
      <c r="AW132" s="146"/>
      <c r="AX132" s="146"/>
      <c r="AY132" s="146"/>
      <c r="AZ132" s="45"/>
    </row>
    <row r="133" spans="2:52" x14ac:dyDescent="0.2">
      <c r="B133" s="191" t="s">
        <v>909</v>
      </c>
      <c r="C133" s="154"/>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46"/>
      <c r="AU133" s="146"/>
      <c r="AV133" s="146"/>
      <c r="AW133" s="146"/>
      <c r="AX133" s="146"/>
      <c r="AY133" s="146"/>
      <c r="AZ133" s="45"/>
    </row>
    <row r="134" spans="2:52" ht="15" thickBot="1" x14ac:dyDescent="0.25">
      <c r="B134" s="191"/>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46"/>
      <c r="AU134" s="146"/>
      <c r="AV134" s="146"/>
      <c r="AW134" s="146"/>
      <c r="AX134" s="146"/>
      <c r="AY134" s="146"/>
      <c r="AZ134" s="45"/>
    </row>
    <row r="135" spans="2:52" x14ac:dyDescent="0.2">
      <c r="B135" s="203" t="s">
        <v>973</v>
      </c>
      <c r="C135" s="207">
        <v>128</v>
      </c>
      <c r="D135" s="207">
        <f>E135-C135</f>
        <v>125</v>
      </c>
      <c r="E135" s="207">
        <v>253</v>
      </c>
      <c r="F135" s="207">
        <f>G135-E135</f>
        <v>120</v>
      </c>
      <c r="G135" s="207">
        <v>373</v>
      </c>
      <c r="H135" s="207">
        <f>I135-G135</f>
        <v>112</v>
      </c>
      <c r="I135" s="207">
        <v>485</v>
      </c>
      <c r="J135" s="208">
        <v>111</v>
      </c>
      <c r="K135" s="208">
        <f>L135-J135</f>
        <v>130</v>
      </c>
      <c r="L135" s="208">
        <v>241</v>
      </c>
      <c r="M135" s="208">
        <f>N135-L135</f>
        <v>143</v>
      </c>
      <c r="N135" s="208">
        <v>384</v>
      </c>
      <c r="O135" s="208">
        <f>P135-N135</f>
        <v>137</v>
      </c>
      <c r="P135" s="208">
        <v>521</v>
      </c>
      <c r="Q135" s="207">
        <v>114</v>
      </c>
      <c r="R135" s="207">
        <f>S135-Q135</f>
        <v>113</v>
      </c>
      <c r="S135" s="207">
        <v>227</v>
      </c>
      <c r="T135" s="207">
        <f>U135-S135</f>
        <v>110</v>
      </c>
      <c r="U135" s="207">
        <v>337</v>
      </c>
      <c r="V135" s="207">
        <f>W135-U135</f>
        <v>100</v>
      </c>
      <c r="W135" s="207">
        <v>437</v>
      </c>
      <c r="X135" s="208">
        <v>114</v>
      </c>
      <c r="Y135" s="208">
        <f>Z135-X135</f>
        <v>113</v>
      </c>
      <c r="Z135" s="208">
        <v>227</v>
      </c>
      <c r="AA135" s="208">
        <f>AB135-Z135</f>
        <v>110</v>
      </c>
      <c r="AB135" s="208">
        <v>337</v>
      </c>
      <c r="AC135" s="208">
        <f>AD135-AB135</f>
        <v>100</v>
      </c>
      <c r="AD135" s="208">
        <v>437</v>
      </c>
      <c r="AE135" s="207">
        <v>97</v>
      </c>
      <c r="AF135" s="207">
        <f>AG135-AE135</f>
        <v>94</v>
      </c>
      <c r="AG135" s="207">
        <v>191</v>
      </c>
      <c r="AH135" s="207">
        <f>AI135-AG135</f>
        <v>87</v>
      </c>
      <c r="AI135" s="207">
        <v>278</v>
      </c>
      <c r="AJ135" s="207">
        <f>AK135-AI135</f>
        <v>76</v>
      </c>
      <c r="AK135" s="207">
        <v>354</v>
      </c>
      <c r="AL135" s="559"/>
      <c r="AM135" s="559"/>
      <c r="AN135" s="208">
        <v>5</v>
      </c>
      <c r="AO135" s="208"/>
      <c r="AP135" s="208"/>
      <c r="AQ135" s="208"/>
      <c r="AR135" s="208">
        <v>11</v>
      </c>
      <c r="AS135" s="563">
        <v>84</v>
      </c>
      <c r="AT135" s="563"/>
      <c r="AU135" s="148">
        <v>5</v>
      </c>
      <c r="AV135" s="148"/>
      <c r="AW135" s="148"/>
      <c r="AX135" s="148"/>
      <c r="AY135" s="148"/>
      <c r="AZ135" s="45"/>
    </row>
    <row r="136" spans="2:52" x14ac:dyDescent="0.2">
      <c r="B136" s="45" t="s">
        <v>1035</v>
      </c>
      <c r="C136" s="154"/>
      <c r="D136" s="154"/>
      <c r="E136" s="154"/>
      <c r="F136" s="154"/>
      <c r="G136" s="154"/>
      <c r="H136" s="154"/>
      <c r="I136" s="154"/>
      <c r="J136" s="173"/>
      <c r="K136" s="173"/>
      <c r="L136" s="173"/>
      <c r="M136" s="173"/>
      <c r="N136" s="173"/>
      <c r="O136" s="173"/>
      <c r="P136" s="173"/>
      <c r="Q136" s="154"/>
      <c r="R136" s="154"/>
      <c r="S136" s="154"/>
      <c r="T136" s="154"/>
      <c r="U136" s="154"/>
      <c r="V136" s="154"/>
      <c r="W136" s="154"/>
      <c r="X136" s="173"/>
      <c r="Y136" s="173"/>
      <c r="Z136" s="173"/>
      <c r="AA136" s="173"/>
      <c r="AB136" s="173"/>
      <c r="AC136" s="173"/>
      <c r="AD136" s="173"/>
      <c r="AE136" s="154"/>
      <c r="AF136" s="154"/>
      <c r="AG136" s="154"/>
      <c r="AH136" s="154"/>
      <c r="AI136" s="154"/>
      <c r="AJ136" s="154"/>
      <c r="AK136" s="154"/>
      <c r="AL136" s="195"/>
      <c r="AM136" s="195"/>
      <c r="AN136" s="173">
        <v>186</v>
      </c>
      <c r="AO136" s="173"/>
      <c r="AP136" s="173"/>
      <c r="AQ136" s="173"/>
      <c r="AR136" s="173">
        <f>354-AR135</f>
        <v>343</v>
      </c>
      <c r="AS136" s="561"/>
      <c r="AT136" s="561"/>
      <c r="AU136" s="146">
        <v>174</v>
      </c>
      <c r="AV136" s="146"/>
      <c r="AW136" s="146"/>
      <c r="AX136" s="146"/>
      <c r="AY136" s="146"/>
      <c r="AZ136" s="45"/>
    </row>
    <row r="137" spans="2:52" x14ac:dyDescent="0.2">
      <c r="B137" s="45" t="s">
        <v>94</v>
      </c>
      <c r="C137" s="154">
        <v>3050</v>
      </c>
      <c r="D137" s="154">
        <f>E137-C137</f>
        <v>3146</v>
      </c>
      <c r="E137" s="154">
        <v>6196</v>
      </c>
      <c r="F137" s="154">
        <f>G137-E137</f>
        <v>3039</v>
      </c>
      <c r="G137" s="154">
        <v>9235</v>
      </c>
      <c r="H137" s="154">
        <f>I137-G137</f>
        <v>3487</v>
      </c>
      <c r="I137" s="154">
        <v>12722</v>
      </c>
      <c r="J137" s="173">
        <v>3584</v>
      </c>
      <c r="K137" s="173">
        <f>L137-J137</f>
        <v>3725</v>
      </c>
      <c r="L137" s="173">
        <v>7309</v>
      </c>
      <c r="M137" s="173">
        <f>N137-L137</f>
        <v>3516</v>
      </c>
      <c r="N137" s="173">
        <v>10825</v>
      </c>
      <c r="O137" s="173">
        <f>P137-N137</f>
        <v>3790</v>
      </c>
      <c r="P137" s="173">
        <v>14615</v>
      </c>
      <c r="Q137" s="154">
        <v>3899</v>
      </c>
      <c r="R137" s="154">
        <f>S137-Q137</f>
        <v>3646</v>
      </c>
      <c r="S137" s="154">
        <v>7545</v>
      </c>
      <c r="T137" s="154">
        <f>U137-S137</f>
        <v>3577</v>
      </c>
      <c r="U137" s="154">
        <v>11122</v>
      </c>
      <c r="V137" s="154">
        <f>W137-U137</f>
        <v>3980</v>
      </c>
      <c r="W137" s="154">
        <v>15102</v>
      </c>
      <c r="X137" s="173">
        <v>3899</v>
      </c>
      <c r="Y137" s="173">
        <f>Z137-X137</f>
        <v>3646</v>
      </c>
      <c r="Z137" s="173">
        <v>7545</v>
      </c>
      <c r="AA137" s="173">
        <f>AB137-Z137</f>
        <v>3577</v>
      </c>
      <c r="AB137" s="173">
        <v>11122</v>
      </c>
      <c r="AC137" s="173">
        <f>AD137-AB137</f>
        <v>3980</v>
      </c>
      <c r="AD137" s="173">
        <v>15102</v>
      </c>
      <c r="AE137" s="154">
        <v>3792</v>
      </c>
      <c r="AF137" s="154">
        <f>AG137-AE137</f>
        <v>3220</v>
      </c>
      <c r="AG137" s="154">
        <v>7012</v>
      </c>
      <c r="AH137" s="154">
        <f>AI137-AG137</f>
        <v>3765</v>
      </c>
      <c r="AI137" s="154">
        <v>10777</v>
      </c>
      <c r="AJ137" s="154">
        <f>AK137-AI137</f>
        <v>3789</v>
      </c>
      <c r="AK137" s="154">
        <v>14566</v>
      </c>
      <c r="AL137" s="195"/>
      <c r="AM137" s="195"/>
      <c r="AN137" s="173">
        <v>7012</v>
      </c>
      <c r="AO137" s="173"/>
      <c r="AP137" s="173"/>
      <c r="AQ137" s="173"/>
      <c r="AR137" s="173">
        <v>14566</v>
      </c>
      <c r="AS137" s="561">
        <v>3443</v>
      </c>
      <c r="AT137" s="561"/>
      <c r="AU137" s="146">
        <v>6946</v>
      </c>
      <c r="AV137" s="146"/>
      <c r="AW137" s="146"/>
      <c r="AX137" s="146"/>
      <c r="AY137" s="146"/>
      <c r="AZ137" s="45"/>
    </row>
    <row r="138" spans="2:52" x14ac:dyDescent="0.2">
      <c r="B138" s="45" t="s">
        <v>95</v>
      </c>
      <c r="C138" s="154">
        <v>814</v>
      </c>
      <c r="D138" s="154">
        <f>E138-C138</f>
        <v>441</v>
      </c>
      <c r="E138" s="154">
        <v>1255</v>
      </c>
      <c r="F138" s="154">
        <f>G138-E138</f>
        <v>1100</v>
      </c>
      <c r="G138" s="154">
        <v>2355</v>
      </c>
      <c r="H138" s="154">
        <f>I138-G138</f>
        <v>1817</v>
      </c>
      <c r="I138" s="154">
        <v>4172</v>
      </c>
      <c r="J138" s="173">
        <v>1617</v>
      </c>
      <c r="K138" s="173">
        <f>L138-J138</f>
        <v>1297</v>
      </c>
      <c r="L138" s="173">
        <v>2914</v>
      </c>
      <c r="M138" s="173">
        <f>N138-L138</f>
        <v>1508</v>
      </c>
      <c r="N138" s="173">
        <v>4422</v>
      </c>
      <c r="O138" s="173">
        <f>P138-N138</f>
        <v>2323</v>
      </c>
      <c r="P138" s="173">
        <v>6745</v>
      </c>
      <c r="Q138" s="154">
        <v>1746</v>
      </c>
      <c r="R138" s="154">
        <f>S138-Q138</f>
        <v>1122</v>
      </c>
      <c r="S138" s="154">
        <v>2868</v>
      </c>
      <c r="T138" s="154">
        <f>U138-S138</f>
        <v>1007</v>
      </c>
      <c r="U138" s="154">
        <v>3875</v>
      </c>
      <c r="V138" s="154">
        <f>W138-U138</f>
        <v>1968</v>
      </c>
      <c r="W138" s="154">
        <v>5843</v>
      </c>
      <c r="X138" s="173">
        <v>1746</v>
      </c>
      <c r="Y138" s="173">
        <f>Z138-X138</f>
        <v>1122</v>
      </c>
      <c r="Z138" s="173">
        <v>2868</v>
      </c>
      <c r="AA138" s="173">
        <f>AB138-Z138</f>
        <v>1007</v>
      </c>
      <c r="AB138" s="173">
        <v>3875</v>
      </c>
      <c r="AC138" s="173">
        <f>AD138-AB138</f>
        <v>1968</v>
      </c>
      <c r="AD138" s="173">
        <v>5843</v>
      </c>
      <c r="AE138" s="154">
        <v>1860</v>
      </c>
      <c r="AF138" s="154">
        <f>AG138-AE138</f>
        <v>1267</v>
      </c>
      <c r="AG138" s="154">
        <v>3127</v>
      </c>
      <c r="AH138" s="154">
        <f>AI138-AG138</f>
        <v>1083</v>
      </c>
      <c r="AI138" s="154">
        <v>4210</v>
      </c>
      <c r="AJ138" s="154">
        <f>AK138-AI138</f>
        <v>1601</v>
      </c>
      <c r="AK138" s="154">
        <v>5811</v>
      </c>
      <c r="AL138" s="195"/>
      <c r="AM138" s="195"/>
      <c r="AN138" s="173">
        <v>3127</v>
      </c>
      <c r="AO138" s="173"/>
      <c r="AP138" s="173"/>
      <c r="AQ138" s="173"/>
      <c r="AR138" s="173">
        <v>5811</v>
      </c>
      <c r="AS138" s="561">
        <v>1638</v>
      </c>
      <c r="AT138" s="561"/>
      <c r="AU138" s="146">
        <v>2840</v>
      </c>
      <c r="AV138" s="146"/>
      <c r="AW138" s="146"/>
      <c r="AX138" s="146"/>
      <c r="AY138" s="146"/>
      <c r="AZ138" s="45"/>
    </row>
    <row r="139" spans="2:52" ht="15" thickBot="1" x14ac:dyDescent="0.25">
      <c r="B139" s="204" t="s">
        <v>96</v>
      </c>
      <c r="C139" s="209">
        <v>608</v>
      </c>
      <c r="D139" s="232">
        <f>E139-C139</f>
        <v>-269</v>
      </c>
      <c r="E139" s="209">
        <v>339</v>
      </c>
      <c r="F139" s="232">
        <f>G139-E139</f>
        <v>-233</v>
      </c>
      <c r="G139" s="209">
        <v>106</v>
      </c>
      <c r="H139" s="209">
        <f>I139-G139</f>
        <v>91</v>
      </c>
      <c r="I139" s="209">
        <v>197</v>
      </c>
      <c r="J139" s="210">
        <v>280</v>
      </c>
      <c r="K139" s="233">
        <f>L139-J139</f>
        <v>-206</v>
      </c>
      <c r="L139" s="210">
        <v>74</v>
      </c>
      <c r="M139" s="233">
        <f>N139-L139</f>
        <v>-162</v>
      </c>
      <c r="N139" s="233">
        <v>-88</v>
      </c>
      <c r="O139" s="210">
        <f>P139-N139</f>
        <v>88</v>
      </c>
      <c r="P139" s="210">
        <v>0</v>
      </c>
      <c r="Q139" s="209">
        <v>236</v>
      </c>
      <c r="R139" s="232">
        <f>S139-Q139</f>
        <v>-225</v>
      </c>
      <c r="S139" s="209">
        <v>11</v>
      </c>
      <c r="T139" s="232">
        <f>U139-S139</f>
        <v>-148</v>
      </c>
      <c r="U139" s="232">
        <v>-137</v>
      </c>
      <c r="V139" s="209">
        <f>W139-U139</f>
        <v>43</v>
      </c>
      <c r="W139" s="232">
        <v>-94</v>
      </c>
      <c r="X139" s="210">
        <v>236</v>
      </c>
      <c r="Y139" s="233">
        <f>Z139-X139</f>
        <v>-225</v>
      </c>
      <c r="Z139" s="210">
        <v>11</v>
      </c>
      <c r="AA139" s="233">
        <f>AB139-Z139</f>
        <v>-148</v>
      </c>
      <c r="AB139" s="233">
        <v>-137</v>
      </c>
      <c r="AC139" s="210">
        <f>AD139-AB139</f>
        <v>43</v>
      </c>
      <c r="AD139" s="233">
        <v>-94</v>
      </c>
      <c r="AE139" s="209">
        <v>230</v>
      </c>
      <c r="AF139" s="232">
        <f>AG139-AE139</f>
        <v>-239</v>
      </c>
      <c r="AG139" s="232">
        <v>-9</v>
      </c>
      <c r="AH139" s="232">
        <f>AI139-AG139</f>
        <v>-211</v>
      </c>
      <c r="AI139" s="232">
        <v>-220</v>
      </c>
      <c r="AJ139" s="209">
        <f>AK139-AI139</f>
        <v>203</v>
      </c>
      <c r="AK139" s="232">
        <v>-17</v>
      </c>
      <c r="AL139" s="557"/>
      <c r="AM139" s="557"/>
      <c r="AN139" s="233">
        <v>-9</v>
      </c>
      <c r="AO139" s="233"/>
      <c r="AP139" s="233"/>
      <c r="AQ139" s="233"/>
      <c r="AR139" s="233">
        <v>-17</v>
      </c>
      <c r="AS139" s="562">
        <v>317</v>
      </c>
      <c r="AT139" s="562"/>
      <c r="AU139" s="174">
        <v>145</v>
      </c>
      <c r="AV139" s="174"/>
      <c r="AW139" s="174"/>
      <c r="AX139" s="174"/>
      <c r="AY139" s="174"/>
      <c r="AZ139" s="45"/>
    </row>
    <row r="140" spans="2:52" ht="15" thickBot="1" x14ac:dyDescent="0.25">
      <c r="B140" s="45"/>
      <c r="C140" s="154"/>
      <c r="D140" s="154"/>
      <c r="E140" s="154"/>
      <c r="F140" s="154"/>
      <c r="G140" s="154"/>
      <c r="H140" s="154"/>
      <c r="I140" s="154"/>
      <c r="J140" s="173"/>
      <c r="K140" s="173"/>
      <c r="L140" s="173"/>
      <c r="M140" s="173"/>
      <c r="N140" s="173"/>
      <c r="O140" s="173"/>
      <c r="P140" s="173"/>
      <c r="Q140" s="154"/>
      <c r="R140" s="154"/>
      <c r="S140" s="154"/>
      <c r="T140" s="154"/>
      <c r="U140" s="154"/>
      <c r="V140" s="154"/>
      <c r="W140" s="154"/>
      <c r="X140" s="173"/>
      <c r="Y140" s="173"/>
      <c r="Z140" s="173"/>
      <c r="AA140" s="173"/>
      <c r="AB140" s="173"/>
      <c r="AC140" s="173"/>
      <c r="AD140" s="173"/>
      <c r="AE140" s="154"/>
      <c r="AF140" s="154"/>
      <c r="AG140" s="154"/>
      <c r="AH140" s="154"/>
      <c r="AI140" s="154"/>
      <c r="AJ140" s="154"/>
      <c r="AK140" s="154"/>
      <c r="AL140" s="195"/>
      <c r="AM140" s="195"/>
      <c r="AN140" s="173"/>
      <c r="AO140" s="173"/>
      <c r="AP140" s="173"/>
      <c r="AQ140" s="173"/>
      <c r="AR140" s="173"/>
      <c r="AS140" s="561"/>
      <c r="AT140" s="561"/>
      <c r="AU140" s="146"/>
      <c r="AV140" s="146"/>
      <c r="AW140" s="146"/>
      <c r="AX140" s="146"/>
      <c r="AY140" s="146"/>
      <c r="AZ140" s="45"/>
    </row>
    <row r="141" spans="2:52" ht="15" thickBot="1" x14ac:dyDescent="0.25">
      <c r="B141" s="64" t="s">
        <v>90</v>
      </c>
      <c r="C141" s="153">
        <f>SUM(C135:C139)</f>
        <v>4600</v>
      </c>
      <c r="D141" s="153">
        <f t="shared" ref="D141:AS141" si="15">SUM(D135:D139)</f>
        <v>3443</v>
      </c>
      <c r="E141" s="153">
        <f t="shared" si="15"/>
        <v>8043</v>
      </c>
      <c r="F141" s="153">
        <f t="shared" si="15"/>
        <v>4026</v>
      </c>
      <c r="G141" s="153">
        <f t="shared" si="15"/>
        <v>12069</v>
      </c>
      <c r="H141" s="153">
        <f t="shared" si="15"/>
        <v>5507</v>
      </c>
      <c r="I141" s="153">
        <f t="shared" si="15"/>
        <v>17576</v>
      </c>
      <c r="J141" s="175">
        <f t="shared" si="15"/>
        <v>5592</v>
      </c>
      <c r="K141" s="175">
        <f t="shared" si="15"/>
        <v>4946</v>
      </c>
      <c r="L141" s="175">
        <f t="shared" si="15"/>
        <v>10538</v>
      </c>
      <c r="M141" s="175">
        <f t="shared" si="15"/>
        <v>5005</v>
      </c>
      <c r="N141" s="175">
        <f t="shared" si="15"/>
        <v>15543</v>
      </c>
      <c r="O141" s="175">
        <f t="shared" si="15"/>
        <v>6338</v>
      </c>
      <c r="P141" s="175">
        <f t="shared" si="15"/>
        <v>21881</v>
      </c>
      <c r="Q141" s="153">
        <f t="shared" si="15"/>
        <v>5995</v>
      </c>
      <c r="R141" s="153">
        <f t="shared" si="15"/>
        <v>4656</v>
      </c>
      <c r="S141" s="153">
        <f t="shared" si="15"/>
        <v>10651</v>
      </c>
      <c r="T141" s="153">
        <f t="shared" si="15"/>
        <v>4546</v>
      </c>
      <c r="U141" s="153">
        <f t="shared" si="15"/>
        <v>15197</v>
      </c>
      <c r="V141" s="153">
        <f t="shared" si="15"/>
        <v>6091</v>
      </c>
      <c r="W141" s="153">
        <f t="shared" si="15"/>
        <v>21288</v>
      </c>
      <c r="X141" s="175">
        <f t="shared" si="15"/>
        <v>5995</v>
      </c>
      <c r="Y141" s="175">
        <f t="shared" si="15"/>
        <v>4656</v>
      </c>
      <c r="Z141" s="175">
        <f t="shared" si="15"/>
        <v>10651</v>
      </c>
      <c r="AA141" s="175">
        <f t="shared" si="15"/>
        <v>4546</v>
      </c>
      <c r="AB141" s="175">
        <f t="shared" si="15"/>
        <v>15197</v>
      </c>
      <c r="AC141" s="175">
        <f t="shared" si="15"/>
        <v>6091</v>
      </c>
      <c r="AD141" s="175">
        <f t="shared" si="15"/>
        <v>21288</v>
      </c>
      <c r="AE141" s="153">
        <f t="shared" si="15"/>
        <v>5979</v>
      </c>
      <c r="AF141" s="153">
        <f t="shared" si="15"/>
        <v>4342</v>
      </c>
      <c r="AG141" s="153">
        <f t="shared" si="15"/>
        <v>10321</v>
      </c>
      <c r="AH141" s="153">
        <f t="shared" si="15"/>
        <v>4724</v>
      </c>
      <c r="AI141" s="153">
        <f t="shared" si="15"/>
        <v>15045</v>
      </c>
      <c r="AJ141" s="153">
        <f t="shared" si="15"/>
        <v>5669</v>
      </c>
      <c r="AK141" s="153">
        <f t="shared" si="15"/>
        <v>20714</v>
      </c>
      <c r="AL141" s="560"/>
      <c r="AM141" s="560"/>
      <c r="AN141" s="175">
        <f>+SUM(AN135:AN139)</f>
        <v>10321</v>
      </c>
      <c r="AO141" s="175"/>
      <c r="AP141" s="175"/>
      <c r="AQ141" s="175"/>
      <c r="AR141" s="175">
        <f t="shared" ref="AR141" si="16">SUM(AR135:AR139)</f>
        <v>20714</v>
      </c>
      <c r="AS141" s="565">
        <f t="shared" si="15"/>
        <v>5482</v>
      </c>
      <c r="AT141" s="564"/>
      <c r="AU141" s="120">
        <f>+SUM(AU135:AU139)</f>
        <v>10110</v>
      </c>
      <c r="AV141" s="120"/>
      <c r="AW141" s="120"/>
      <c r="AX141" s="120"/>
      <c r="AY141" s="120"/>
      <c r="AZ141" s="45"/>
    </row>
    <row r="142" spans="2:52" ht="15" thickBot="1" x14ac:dyDescent="0.25">
      <c r="B142" s="64" t="s">
        <v>974</v>
      </c>
      <c r="C142" s="153">
        <v>398</v>
      </c>
      <c r="D142" s="153">
        <f>E142-C142</f>
        <v>382</v>
      </c>
      <c r="E142" s="153">
        <v>780</v>
      </c>
      <c r="F142" s="153">
        <f>G142-E142</f>
        <v>355</v>
      </c>
      <c r="G142" s="153">
        <v>1135</v>
      </c>
      <c r="H142" s="153">
        <f>I142-G142</f>
        <v>373</v>
      </c>
      <c r="I142" s="153">
        <v>1508</v>
      </c>
      <c r="J142" s="175">
        <v>375</v>
      </c>
      <c r="K142" s="175">
        <f>L142-J142</f>
        <v>383</v>
      </c>
      <c r="L142" s="175">
        <v>758</v>
      </c>
      <c r="M142" s="175">
        <f>N142-L142</f>
        <v>356</v>
      </c>
      <c r="N142" s="175">
        <v>1114</v>
      </c>
      <c r="O142" s="175">
        <f>P142-N142</f>
        <v>289</v>
      </c>
      <c r="P142" s="175">
        <v>1403</v>
      </c>
      <c r="Q142" s="153">
        <v>333</v>
      </c>
      <c r="R142" s="153">
        <f>S142-Q142</f>
        <v>453</v>
      </c>
      <c r="S142" s="153">
        <v>786</v>
      </c>
      <c r="T142" s="153">
        <f>U142-S142</f>
        <v>468</v>
      </c>
      <c r="U142" s="153">
        <v>1254</v>
      </c>
      <c r="V142" s="153">
        <f>W142-U142</f>
        <v>382</v>
      </c>
      <c r="W142" s="153">
        <v>1636</v>
      </c>
      <c r="X142" s="175">
        <v>333</v>
      </c>
      <c r="Y142" s="175">
        <f>Z142-X142</f>
        <v>453</v>
      </c>
      <c r="Z142" s="175">
        <v>786</v>
      </c>
      <c r="AA142" s="175">
        <f>AB142-Z142</f>
        <v>468</v>
      </c>
      <c r="AB142" s="175">
        <v>1254</v>
      </c>
      <c r="AC142" s="175">
        <f>AD142-AB142</f>
        <v>382</v>
      </c>
      <c r="AD142" s="175">
        <v>1636</v>
      </c>
      <c r="AE142" s="153">
        <v>455</v>
      </c>
      <c r="AF142" s="153">
        <f>AG142-AE142</f>
        <v>458</v>
      </c>
      <c r="AG142" s="153">
        <v>913</v>
      </c>
      <c r="AH142" s="153">
        <f>AI142-AG142</f>
        <v>500</v>
      </c>
      <c r="AI142" s="153">
        <v>1413</v>
      </c>
      <c r="AJ142" s="153">
        <f>AK142-AI142</f>
        <v>496</v>
      </c>
      <c r="AK142" s="153">
        <v>1909</v>
      </c>
      <c r="AL142" s="560"/>
      <c r="AM142" s="560"/>
      <c r="AN142" s="560"/>
      <c r="AO142" s="175"/>
      <c r="AP142" s="175"/>
      <c r="AQ142" s="175"/>
      <c r="AR142" s="560"/>
      <c r="AS142" s="565">
        <v>453</v>
      </c>
      <c r="AT142" s="564"/>
      <c r="AU142" s="560"/>
      <c r="AV142" s="560"/>
      <c r="AW142" s="560"/>
      <c r="AX142" s="560"/>
      <c r="AY142" s="560"/>
      <c r="AZ142" s="45"/>
    </row>
    <row r="143" spans="2:52" x14ac:dyDescent="0.2">
      <c r="B143" s="45"/>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569"/>
      <c r="AT143" s="569"/>
      <c r="AU143" s="146"/>
      <c r="AV143" s="146"/>
      <c r="AW143" s="146"/>
      <c r="AX143" s="146"/>
      <c r="AY143" s="146"/>
      <c r="AZ143" s="45"/>
    </row>
    <row r="144" spans="2:52" x14ac:dyDescent="0.2">
      <c r="B144" s="191" t="s">
        <v>910</v>
      </c>
      <c r="C144" s="154"/>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569"/>
      <c r="AT144" s="569"/>
      <c r="AU144" s="146"/>
      <c r="AV144" s="146"/>
      <c r="AW144" s="146"/>
      <c r="AX144" s="146"/>
      <c r="AY144" s="146"/>
      <c r="AZ144" s="45"/>
    </row>
    <row r="145" spans="2:52" ht="15" thickBot="1" x14ac:dyDescent="0.25">
      <c r="B145" s="191"/>
      <c r="C145" s="154"/>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569"/>
      <c r="AT145" s="569"/>
      <c r="AU145" s="146"/>
      <c r="AV145" s="146"/>
      <c r="AW145" s="146"/>
      <c r="AX145" s="146"/>
      <c r="AY145" s="146"/>
      <c r="AZ145" s="45"/>
    </row>
    <row r="146" spans="2:52" x14ac:dyDescent="0.2">
      <c r="B146" s="203" t="s">
        <v>56</v>
      </c>
      <c r="C146" s="207">
        <v>1316</v>
      </c>
      <c r="D146" s="207">
        <f>E146-C146</f>
        <v>273</v>
      </c>
      <c r="E146" s="207">
        <v>1589</v>
      </c>
      <c r="F146" s="207">
        <f>G146-E146</f>
        <v>124</v>
      </c>
      <c r="G146" s="207">
        <v>1713</v>
      </c>
      <c r="H146" s="207">
        <f>I146-G146</f>
        <v>935</v>
      </c>
      <c r="I146" s="207">
        <v>2648</v>
      </c>
      <c r="J146" s="208">
        <v>1266</v>
      </c>
      <c r="K146" s="208">
        <f>L146-J146</f>
        <v>237</v>
      </c>
      <c r="L146" s="208">
        <v>1503</v>
      </c>
      <c r="M146" s="208">
        <f>N146-L146</f>
        <v>165</v>
      </c>
      <c r="N146" s="208">
        <v>1668</v>
      </c>
      <c r="O146" s="208">
        <f>P146-N146</f>
        <v>894</v>
      </c>
      <c r="P146" s="208">
        <v>2562</v>
      </c>
      <c r="Q146" s="207">
        <v>1180</v>
      </c>
      <c r="R146" s="207">
        <f>S146-Q146</f>
        <v>199</v>
      </c>
      <c r="S146" s="207">
        <v>1379</v>
      </c>
      <c r="T146" s="207">
        <f>U146-S146</f>
        <v>134</v>
      </c>
      <c r="U146" s="207">
        <v>1513</v>
      </c>
      <c r="V146" s="207">
        <f>W146-U146</f>
        <v>891</v>
      </c>
      <c r="W146" s="207">
        <v>2404</v>
      </c>
      <c r="X146" s="208">
        <v>1180</v>
      </c>
      <c r="Y146" s="208">
        <f>Z146-X146</f>
        <v>199</v>
      </c>
      <c r="Z146" s="208">
        <v>1379</v>
      </c>
      <c r="AA146" s="208">
        <f>AB146-Z146</f>
        <v>134</v>
      </c>
      <c r="AB146" s="208">
        <v>1513</v>
      </c>
      <c r="AC146" s="208">
        <f>AD146-AB146</f>
        <v>891</v>
      </c>
      <c r="AD146" s="208">
        <v>2404</v>
      </c>
      <c r="AE146" s="207">
        <v>1290</v>
      </c>
      <c r="AF146" s="207">
        <f>AG146-AE146</f>
        <v>247</v>
      </c>
      <c r="AG146" s="207">
        <v>1537</v>
      </c>
      <c r="AH146" s="207">
        <f>AI146-AG146</f>
        <v>185</v>
      </c>
      <c r="AI146" s="207">
        <v>1722</v>
      </c>
      <c r="AJ146" s="207">
        <f>AK146-AI146</f>
        <v>1082</v>
      </c>
      <c r="AK146" s="207">
        <v>2804</v>
      </c>
      <c r="AL146" s="559"/>
      <c r="AM146" s="559"/>
      <c r="AN146" s="208">
        <v>1537</v>
      </c>
      <c r="AO146" s="208"/>
      <c r="AP146" s="208"/>
      <c r="AQ146" s="208"/>
      <c r="AR146" s="208">
        <v>2804</v>
      </c>
      <c r="AS146" s="563">
        <v>1312</v>
      </c>
      <c r="AT146" s="563"/>
      <c r="AU146" s="148">
        <v>1734</v>
      </c>
      <c r="AV146" s="148"/>
      <c r="AW146" s="148"/>
      <c r="AX146" s="148"/>
      <c r="AY146" s="148"/>
      <c r="AZ146" s="45"/>
    </row>
    <row r="147" spans="2:52" x14ac:dyDescent="0.2">
      <c r="B147" s="45" t="s">
        <v>57</v>
      </c>
      <c r="C147" s="154">
        <v>879</v>
      </c>
      <c r="D147" s="154">
        <f>E147-C147</f>
        <v>777</v>
      </c>
      <c r="E147" s="154">
        <v>1656</v>
      </c>
      <c r="F147" s="154">
        <f>G147-E147</f>
        <v>789</v>
      </c>
      <c r="G147" s="154">
        <v>2445</v>
      </c>
      <c r="H147" s="154">
        <f>I147-G147</f>
        <v>940</v>
      </c>
      <c r="I147" s="154">
        <v>3385</v>
      </c>
      <c r="J147" s="173">
        <v>1041</v>
      </c>
      <c r="K147" s="173">
        <f>L147-J147</f>
        <v>942</v>
      </c>
      <c r="L147" s="173">
        <v>1983</v>
      </c>
      <c r="M147" s="173">
        <f>N147-L147</f>
        <v>907</v>
      </c>
      <c r="N147" s="173">
        <v>2890</v>
      </c>
      <c r="O147" s="173">
        <f>P147-N147</f>
        <v>1080</v>
      </c>
      <c r="P147" s="173">
        <v>3970</v>
      </c>
      <c r="Q147" s="154">
        <v>1150</v>
      </c>
      <c r="R147" s="154">
        <f>S147-Q147</f>
        <v>1059</v>
      </c>
      <c r="S147" s="154">
        <v>2209</v>
      </c>
      <c r="T147" s="154">
        <f>U147-S147</f>
        <v>1040</v>
      </c>
      <c r="U147" s="154">
        <v>3249</v>
      </c>
      <c r="V147" s="154">
        <f>W147-U147</f>
        <v>1258</v>
      </c>
      <c r="W147" s="154">
        <v>4507</v>
      </c>
      <c r="X147" s="173">
        <v>1150</v>
      </c>
      <c r="Y147" s="173">
        <f>Z147-X147</f>
        <v>1059</v>
      </c>
      <c r="Z147" s="173">
        <v>2209</v>
      </c>
      <c r="AA147" s="173">
        <f>AB147-Z147</f>
        <v>1040</v>
      </c>
      <c r="AB147" s="173">
        <v>3249</v>
      </c>
      <c r="AC147" s="173">
        <f>AD147-AB147</f>
        <v>1258</v>
      </c>
      <c r="AD147" s="173">
        <v>4507</v>
      </c>
      <c r="AE147" s="154">
        <v>1241</v>
      </c>
      <c r="AF147" s="154">
        <f>AG147-AE147</f>
        <v>1013</v>
      </c>
      <c r="AG147" s="154">
        <v>2254</v>
      </c>
      <c r="AH147" s="154">
        <f>AI147-AG147</f>
        <v>993</v>
      </c>
      <c r="AI147" s="154">
        <v>3247</v>
      </c>
      <c r="AJ147" s="154">
        <f>AK147-AI147</f>
        <v>1271</v>
      </c>
      <c r="AK147" s="154">
        <v>4518</v>
      </c>
      <c r="AL147" s="195"/>
      <c r="AM147" s="195"/>
      <c r="AN147" s="173">
        <v>2254</v>
      </c>
      <c r="AO147" s="173"/>
      <c r="AP147" s="173"/>
      <c r="AQ147" s="173"/>
      <c r="AR147" s="173">
        <v>4518</v>
      </c>
      <c r="AS147" s="561">
        <v>1367</v>
      </c>
      <c r="AT147" s="561"/>
      <c r="AU147" s="146">
        <v>2491</v>
      </c>
      <c r="AV147" s="146"/>
      <c r="AW147" s="146"/>
      <c r="AX147" s="146"/>
      <c r="AY147" s="146"/>
      <c r="AZ147" s="45"/>
    </row>
    <row r="148" spans="2:52" x14ac:dyDescent="0.2">
      <c r="B148" s="45" t="s">
        <v>58</v>
      </c>
      <c r="C148" s="154">
        <v>1371</v>
      </c>
      <c r="D148" s="154">
        <f>E148-C148</f>
        <v>1052</v>
      </c>
      <c r="E148" s="154">
        <v>2423</v>
      </c>
      <c r="F148" s="154">
        <f>G148-E148</f>
        <v>1623</v>
      </c>
      <c r="G148" s="154">
        <v>4046</v>
      </c>
      <c r="H148" s="154">
        <f>I148-G148</f>
        <v>1625</v>
      </c>
      <c r="I148" s="154">
        <v>5671</v>
      </c>
      <c r="J148" s="173">
        <v>1750</v>
      </c>
      <c r="K148" s="173">
        <f>L148-J148</f>
        <v>1316</v>
      </c>
      <c r="L148" s="173">
        <v>3066</v>
      </c>
      <c r="M148" s="173">
        <f>N148-L148</f>
        <v>1862</v>
      </c>
      <c r="N148" s="173">
        <v>4928</v>
      </c>
      <c r="O148" s="173">
        <f>P148-N148</f>
        <v>2392</v>
      </c>
      <c r="P148" s="173">
        <v>7320</v>
      </c>
      <c r="Q148" s="154">
        <v>2107</v>
      </c>
      <c r="R148" s="154">
        <f>S148-Q148</f>
        <v>1547</v>
      </c>
      <c r="S148" s="154">
        <v>3654</v>
      </c>
      <c r="T148" s="154">
        <f>U148-S148</f>
        <v>1759</v>
      </c>
      <c r="U148" s="154">
        <v>5413</v>
      </c>
      <c r="V148" s="154">
        <f>W148-U148</f>
        <v>1898</v>
      </c>
      <c r="W148" s="154">
        <v>7311</v>
      </c>
      <c r="X148" s="173">
        <v>2107</v>
      </c>
      <c r="Y148" s="173">
        <f>Z148-X148</f>
        <v>1547</v>
      </c>
      <c r="Z148" s="173">
        <v>3654</v>
      </c>
      <c r="AA148" s="173">
        <f>AB148-Z148</f>
        <v>1759</v>
      </c>
      <c r="AB148" s="173">
        <v>5413</v>
      </c>
      <c r="AC148" s="173">
        <f>AD148-AB148</f>
        <v>1898</v>
      </c>
      <c r="AD148" s="173">
        <v>7311</v>
      </c>
      <c r="AE148" s="154">
        <v>1840</v>
      </c>
      <c r="AF148" s="154">
        <f>AG148-AE148</f>
        <v>1182</v>
      </c>
      <c r="AG148" s="154">
        <v>3022</v>
      </c>
      <c r="AH148" s="154">
        <f>AI148-AG148</f>
        <v>1776</v>
      </c>
      <c r="AI148" s="154">
        <v>4798</v>
      </c>
      <c r="AJ148" s="154">
        <f>AK148-AI148</f>
        <v>1703</v>
      </c>
      <c r="AK148" s="154">
        <v>6501</v>
      </c>
      <c r="AL148" s="195"/>
      <c r="AM148" s="195"/>
      <c r="AN148" s="173">
        <v>3022</v>
      </c>
      <c r="AO148" s="173"/>
      <c r="AP148" s="173"/>
      <c r="AQ148" s="173"/>
      <c r="AR148" s="173">
        <v>6501</v>
      </c>
      <c r="AS148" s="561">
        <v>1814</v>
      </c>
      <c r="AT148" s="561"/>
      <c r="AU148" s="146">
        <v>3339</v>
      </c>
      <c r="AV148" s="146"/>
      <c r="AW148" s="146"/>
      <c r="AX148" s="146"/>
      <c r="AY148" s="146"/>
      <c r="AZ148" s="45"/>
    </row>
    <row r="149" spans="2:52" ht="15" thickBot="1" x14ac:dyDescent="0.25">
      <c r="B149" s="204" t="s">
        <v>97</v>
      </c>
      <c r="C149" s="209">
        <v>1034</v>
      </c>
      <c r="D149" s="209">
        <f>E149-C149</f>
        <v>1341</v>
      </c>
      <c r="E149" s="209">
        <v>2375</v>
      </c>
      <c r="F149" s="209">
        <f>G149-E149</f>
        <v>1490</v>
      </c>
      <c r="G149" s="209">
        <v>3865</v>
      </c>
      <c r="H149" s="209">
        <f>I149-G149</f>
        <v>2007</v>
      </c>
      <c r="I149" s="209">
        <v>5872</v>
      </c>
      <c r="J149" s="210">
        <v>1536</v>
      </c>
      <c r="K149" s="210">
        <f>L149-J149</f>
        <v>2450</v>
      </c>
      <c r="L149" s="210">
        <v>3986</v>
      </c>
      <c r="M149" s="210">
        <f>N149-L149</f>
        <v>2071</v>
      </c>
      <c r="N149" s="210">
        <v>6057</v>
      </c>
      <c r="O149" s="210">
        <f>P149-N149</f>
        <v>1972</v>
      </c>
      <c r="P149" s="210">
        <v>8029</v>
      </c>
      <c r="Q149" s="209">
        <v>1558</v>
      </c>
      <c r="R149" s="209">
        <f>S149-Q149</f>
        <v>1851</v>
      </c>
      <c r="S149" s="209">
        <v>3409</v>
      </c>
      <c r="T149" s="209">
        <f>U149-S149</f>
        <v>1613</v>
      </c>
      <c r="U149" s="209">
        <v>5022</v>
      </c>
      <c r="V149" s="209">
        <f>W149-U149</f>
        <v>2044</v>
      </c>
      <c r="W149" s="209">
        <v>7066</v>
      </c>
      <c r="X149" s="210">
        <v>1558</v>
      </c>
      <c r="Y149" s="210">
        <f>Z149-X149</f>
        <v>1851</v>
      </c>
      <c r="Z149" s="210">
        <v>3409</v>
      </c>
      <c r="AA149" s="210">
        <f>AB149-Z149</f>
        <v>1613</v>
      </c>
      <c r="AB149" s="210">
        <v>5022</v>
      </c>
      <c r="AC149" s="210">
        <f>AD149-AB149</f>
        <v>2044</v>
      </c>
      <c r="AD149" s="210">
        <v>7066</v>
      </c>
      <c r="AE149" s="209">
        <v>1608</v>
      </c>
      <c r="AF149" s="209">
        <f>AG149-AE149</f>
        <v>1900</v>
      </c>
      <c r="AG149" s="209">
        <v>3508</v>
      </c>
      <c r="AH149" s="209">
        <f>AI149-AG149</f>
        <v>1770</v>
      </c>
      <c r="AI149" s="209">
        <v>5278</v>
      </c>
      <c r="AJ149" s="209">
        <f>AK149-AI149</f>
        <v>1612</v>
      </c>
      <c r="AK149" s="209">
        <v>6890</v>
      </c>
      <c r="AL149" s="557"/>
      <c r="AM149" s="557"/>
      <c r="AN149" s="210">
        <v>3508</v>
      </c>
      <c r="AO149" s="210"/>
      <c r="AP149" s="210"/>
      <c r="AQ149" s="210"/>
      <c r="AR149" s="210">
        <v>6890</v>
      </c>
      <c r="AS149" s="562">
        <v>989</v>
      </c>
      <c r="AT149" s="562"/>
      <c r="AU149" s="174">
        <v>2546</v>
      </c>
      <c r="AV149" s="174"/>
      <c r="AW149" s="174"/>
      <c r="AX149" s="174"/>
      <c r="AY149" s="174"/>
      <c r="AZ149" s="45"/>
    </row>
    <row r="150" spans="2:52" ht="15" thickBot="1" x14ac:dyDescent="0.25">
      <c r="B150" s="45"/>
      <c r="C150" s="154"/>
      <c r="D150" s="154"/>
      <c r="E150" s="154"/>
      <c r="F150" s="154"/>
      <c r="G150" s="154"/>
      <c r="H150" s="154"/>
      <c r="I150" s="154"/>
      <c r="J150" s="173"/>
      <c r="K150" s="173"/>
      <c r="L150" s="173"/>
      <c r="M150" s="173"/>
      <c r="N150" s="173"/>
      <c r="O150" s="173"/>
      <c r="P150" s="173"/>
      <c r="Q150" s="154"/>
      <c r="R150" s="154"/>
      <c r="S150" s="154"/>
      <c r="T150" s="154"/>
      <c r="U150" s="154"/>
      <c r="V150" s="154"/>
      <c r="W150" s="154"/>
      <c r="X150" s="173"/>
      <c r="Y150" s="173"/>
      <c r="Z150" s="173"/>
      <c r="AA150" s="173"/>
      <c r="AB150" s="173"/>
      <c r="AC150" s="173"/>
      <c r="AD150" s="173"/>
      <c r="AE150" s="154"/>
      <c r="AF150" s="154"/>
      <c r="AG150" s="154"/>
      <c r="AH150" s="154"/>
      <c r="AI150" s="154"/>
      <c r="AJ150" s="154"/>
      <c r="AK150" s="154"/>
      <c r="AL150" s="195"/>
      <c r="AM150" s="195"/>
      <c r="AN150" s="173"/>
      <c r="AO150" s="173"/>
      <c r="AP150" s="173"/>
      <c r="AQ150" s="173"/>
      <c r="AR150" s="173"/>
      <c r="AS150" s="561"/>
      <c r="AT150" s="561"/>
      <c r="AU150" s="146"/>
      <c r="AV150" s="146"/>
      <c r="AW150" s="146"/>
      <c r="AX150" s="146"/>
      <c r="AY150" s="146"/>
      <c r="AZ150" s="45"/>
    </row>
    <row r="151" spans="2:52" ht="15" thickBot="1" x14ac:dyDescent="0.25">
      <c r="B151" s="64" t="s">
        <v>92</v>
      </c>
      <c r="C151" s="153">
        <f>SUM(C146:C149)</f>
        <v>4600</v>
      </c>
      <c r="D151" s="153">
        <f t="shared" ref="D151:AS151" si="17">SUM(D146:D149)</f>
        <v>3443</v>
      </c>
      <c r="E151" s="153">
        <f t="shared" si="17"/>
        <v>8043</v>
      </c>
      <c r="F151" s="153">
        <f t="shared" si="17"/>
        <v>4026</v>
      </c>
      <c r="G151" s="153">
        <f t="shared" si="17"/>
        <v>12069</v>
      </c>
      <c r="H151" s="153">
        <f t="shared" si="17"/>
        <v>5507</v>
      </c>
      <c r="I151" s="153">
        <f t="shared" si="17"/>
        <v>17576</v>
      </c>
      <c r="J151" s="175">
        <f t="shared" si="17"/>
        <v>5593</v>
      </c>
      <c r="K151" s="175">
        <f t="shared" si="17"/>
        <v>4945</v>
      </c>
      <c r="L151" s="175">
        <f t="shared" si="17"/>
        <v>10538</v>
      </c>
      <c r="M151" s="175">
        <f t="shared" si="17"/>
        <v>5005</v>
      </c>
      <c r="N151" s="175">
        <f t="shared" si="17"/>
        <v>15543</v>
      </c>
      <c r="O151" s="175">
        <f t="shared" si="17"/>
        <v>6338</v>
      </c>
      <c r="P151" s="175">
        <f t="shared" si="17"/>
        <v>21881</v>
      </c>
      <c r="Q151" s="153">
        <f t="shared" si="17"/>
        <v>5995</v>
      </c>
      <c r="R151" s="153">
        <f t="shared" si="17"/>
        <v>4656</v>
      </c>
      <c r="S151" s="153">
        <f t="shared" si="17"/>
        <v>10651</v>
      </c>
      <c r="T151" s="153">
        <f t="shared" si="17"/>
        <v>4546</v>
      </c>
      <c r="U151" s="153">
        <f t="shared" si="17"/>
        <v>15197</v>
      </c>
      <c r="V151" s="153">
        <f t="shared" si="17"/>
        <v>6091</v>
      </c>
      <c r="W151" s="153">
        <f t="shared" si="17"/>
        <v>21288</v>
      </c>
      <c r="X151" s="175">
        <f t="shared" si="17"/>
        <v>5995</v>
      </c>
      <c r="Y151" s="175">
        <f t="shared" si="17"/>
        <v>4656</v>
      </c>
      <c r="Z151" s="175">
        <f t="shared" si="17"/>
        <v>10651</v>
      </c>
      <c r="AA151" s="175">
        <f t="shared" si="17"/>
        <v>4546</v>
      </c>
      <c r="AB151" s="175">
        <f t="shared" si="17"/>
        <v>15197</v>
      </c>
      <c r="AC151" s="175">
        <f t="shared" si="17"/>
        <v>6091</v>
      </c>
      <c r="AD151" s="175">
        <f t="shared" si="17"/>
        <v>21288</v>
      </c>
      <c r="AE151" s="153">
        <f t="shared" si="17"/>
        <v>5979</v>
      </c>
      <c r="AF151" s="153">
        <f t="shared" si="17"/>
        <v>4342</v>
      </c>
      <c r="AG151" s="153">
        <f t="shared" si="17"/>
        <v>10321</v>
      </c>
      <c r="AH151" s="153">
        <f t="shared" si="17"/>
        <v>4724</v>
      </c>
      <c r="AI151" s="153">
        <f t="shared" si="17"/>
        <v>15045</v>
      </c>
      <c r="AJ151" s="153">
        <f t="shared" si="17"/>
        <v>5668</v>
      </c>
      <c r="AK151" s="153">
        <f t="shared" si="17"/>
        <v>20713</v>
      </c>
      <c r="AL151" s="560"/>
      <c r="AM151" s="560"/>
      <c r="AN151" s="175">
        <f>+SUM(AN146:AN149)</f>
        <v>10321</v>
      </c>
      <c r="AO151" s="175"/>
      <c r="AP151" s="175"/>
      <c r="AQ151" s="175"/>
      <c r="AR151" s="175">
        <f t="shared" ref="AR151" si="18">SUM(AR146:AR149)</f>
        <v>20713</v>
      </c>
      <c r="AS151" s="565">
        <f t="shared" si="17"/>
        <v>5482</v>
      </c>
      <c r="AT151" s="564"/>
      <c r="AU151" s="120">
        <f>+SUM(AU146:AU149)</f>
        <v>10110</v>
      </c>
      <c r="AV151" s="120"/>
      <c r="AW151" s="120"/>
      <c r="AX151" s="120"/>
      <c r="AY151" s="120"/>
      <c r="AZ151" s="45"/>
    </row>
    <row r="152" spans="2:52" ht="15" thickBot="1" x14ac:dyDescent="0.25">
      <c r="B152" s="64" t="s">
        <v>98</v>
      </c>
      <c r="C152" s="153">
        <v>398</v>
      </c>
      <c r="D152" s="153">
        <f>E152-C152</f>
        <v>382</v>
      </c>
      <c r="E152" s="153">
        <v>780</v>
      </c>
      <c r="F152" s="153">
        <f>G152-E152</f>
        <v>355</v>
      </c>
      <c r="G152" s="153">
        <v>1135</v>
      </c>
      <c r="H152" s="153">
        <f>I152-G152</f>
        <v>373</v>
      </c>
      <c r="I152" s="153">
        <v>1508</v>
      </c>
      <c r="J152" s="175">
        <v>375</v>
      </c>
      <c r="K152" s="175">
        <f>L152-J152</f>
        <v>383</v>
      </c>
      <c r="L152" s="175">
        <v>758</v>
      </c>
      <c r="M152" s="175">
        <f>N152-L152</f>
        <v>356</v>
      </c>
      <c r="N152" s="175">
        <v>1114</v>
      </c>
      <c r="O152" s="175">
        <f>P152-N152</f>
        <v>289</v>
      </c>
      <c r="P152" s="175">
        <v>1403</v>
      </c>
      <c r="Q152" s="153">
        <v>333</v>
      </c>
      <c r="R152" s="153">
        <f>S152-Q152</f>
        <v>453</v>
      </c>
      <c r="S152" s="153">
        <v>786</v>
      </c>
      <c r="T152" s="153">
        <f>U152-S152</f>
        <v>468</v>
      </c>
      <c r="U152" s="153">
        <v>1254</v>
      </c>
      <c r="V152" s="153">
        <f>W152-U152</f>
        <v>382</v>
      </c>
      <c r="W152" s="153">
        <v>1636</v>
      </c>
      <c r="X152" s="175">
        <v>333</v>
      </c>
      <c r="Y152" s="175">
        <f>Z152-X152</f>
        <v>453</v>
      </c>
      <c r="Z152" s="175">
        <v>786</v>
      </c>
      <c r="AA152" s="175">
        <f>AB152-Z152</f>
        <v>468</v>
      </c>
      <c r="AB152" s="175">
        <v>1254</v>
      </c>
      <c r="AC152" s="175">
        <f>AD152-AB152</f>
        <v>382</v>
      </c>
      <c r="AD152" s="175">
        <v>1636</v>
      </c>
      <c r="AE152" s="153">
        <v>455</v>
      </c>
      <c r="AF152" s="153">
        <f>AG152-AE152</f>
        <v>458</v>
      </c>
      <c r="AG152" s="153">
        <v>913</v>
      </c>
      <c r="AH152" s="153">
        <f>AI152-AG152</f>
        <v>500</v>
      </c>
      <c r="AI152" s="153">
        <v>1413</v>
      </c>
      <c r="AJ152" s="153">
        <f>AK152-AI152</f>
        <v>496</v>
      </c>
      <c r="AK152" s="153">
        <v>1909</v>
      </c>
      <c r="AL152" s="560"/>
      <c r="AM152" s="560"/>
      <c r="AN152" s="560"/>
      <c r="AO152" s="175"/>
      <c r="AP152" s="175"/>
      <c r="AQ152" s="175"/>
      <c r="AR152" s="560"/>
      <c r="AS152" s="565">
        <v>453</v>
      </c>
      <c r="AT152" s="564"/>
      <c r="AU152" s="564"/>
      <c r="AV152" s="564"/>
      <c r="AW152" s="564"/>
      <c r="AX152" s="564"/>
      <c r="AY152" s="564"/>
      <c r="AZ152" s="45"/>
    </row>
    <row r="153" spans="2:52" x14ac:dyDescent="0.2">
      <c r="B153" s="45"/>
      <c r="C153" s="154"/>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46"/>
      <c r="AT153" s="146"/>
      <c r="AU153" s="146"/>
      <c r="AV153" s="146"/>
      <c r="AW153" s="146"/>
      <c r="AX153" s="146"/>
      <c r="AY153" s="146"/>
      <c r="AZ153" s="45"/>
    </row>
    <row r="154" spans="2:52" x14ac:dyDescent="0.2">
      <c r="B154" s="191" t="s">
        <v>911</v>
      </c>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46"/>
      <c r="AT154" s="146"/>
      <c r="AU154" s="146"/>
      <c r="AV154" s="146"/>
      <c r="AW154" s="146"/>
      <c r="AX154" s="146"/>
      <c r="AY154" s="146"/>
      <c r="AZ154" s="45"/>
    </row>
    <row r="155" spans="2:52" ht="15" thickBot="1" x14ac:dyDescent="0.25">
      <c r="B155" s="191"/>
      <c r="C155" s="154"/>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46"/>
      <c r="AT155" s="146"/>
      <c r="AU155" s="146"/>
      <c r="AV155" s="146"/>
      <c r="AW155" s="146"/>
      <c r="AX155" s="146"/>
      <c r="AY155" s="146"/>
      <c r="AZ155" s="45"/>
    </row>
    <row r="156" spans="2:52" x14ac:dyDescent="0.2">
      <c r="B156" s="203" t="s">
        <v>99</v>
      </c>
      <c r="C156" s="207">
        <v>665</v>
      </c>
      <c r="D156" s="207">
        <f>E156-C156</f>
        <v>655</v>
      </c>
      <c r="E156" s="207">
        <v>1320</v>
      </c>
      <c r="F156" s="207">
        <f>G156-E156</f>
        <v>633</v>
      </c>
      <c r="G156" s="207">
        <v>1953</v>
      </c>
      <c r="H156" s="207">
        <f>I156-G156</f>
        <v>593</v>
      </c>
      <c r="I156" s="207">
        <v>2546</v>
      </c>
      <c r="J156" s="208">
        <v>561</v>
      </c>
      <c r="K156" s="208">
        <f>L156-J156</f>
        <v>564</v>
      </c>
      <c r="L156" s="208">
        <v>1125</v>
      </c>
      <c r="M156" s="208">
        <f>N156-L156</f>
        <v>542</v>
      </c>
      <c r="N156" s="208">
        <v>1667</v>
      </c>
      <c r="O156" s="208">
        <f>P156-N156</f>
        <v>496</v>
      </c>
      <c r="P156" s="208">
        <v>2163</v>
      </c>
      <c r="Q156" s="207">
        <v>467</v>
      </c>
      <c r="R156" s="207">
        <f>S156-Q156</f>
        <v>481</v>
      </c>
      <c r="S156" s="207">
        <v>948</v>
      </c>
      <c r="T156" s="207">
        <f>U156-S156</f>
        <v>472</v>
      </c>
      <c r="U156" s="207">
        <v>1420</v>
      </c>
      <c r="V156" s="207">
        <f>W156-U156</f>
        <v>454</v>
      </c>
      <c r="W156" s="207">
        <v>1874</v>
      </c>
      <c r="X156" s="208">
        <v>467</v>
      </c>
      <c r="Y156" s="208">
        <f>Z156-X156</f>
        <v>481</v>
      </c>
      <c r="Z156" s="208">
        <v>948</v>
      </c>
      <c r="AA156" s="208">
        <f>AB156-Z156</f>
        <v>472</v>
      </c>
      <c r="AB156" s="208">
        <v>1420</v>
      </c>
      <c r="AC156" s="208">
        <f>AD156-AB156</f>
        <v>454</v>
      </c>
      <c r="AD156" s="208">
        <v>1874</v>
      </c>
      <c r="AE156" s="207">
        <v>401</v>
      </c>
      <c r="AF156" s="207">
        <f>AG156-AE156</f>
        <v>463</v>
      </c>
      <c r="AG156" s="207">
        <v>864</v>
      </c>
      <c r="AH156" s="207">
        <f>AI156-AG156</f>
        <v>424</v>
      </c>
      <c r="AI156" s="207">
        <v>1288</v>
      </c>
      <c r="AJ156" s="207">
        <f>AK156-AI156</f>
        <v>376</v>
      </c>
      <c r="AK156" s="207">
        <v>1664</v>
      </c>
      <c r="AL156" s="559"/>
      <c r="AM156" s="559"/>
      <c r="AN156" s="559"/>
      <c r="AO156" s="208"/>
      <c r="AP156" s="208"/>
      <c r="AQ156" s="208"/>
      <c r="AR156" s="559"/>
      <c r="AS156" s="563">
        <v>415</v>
      </c>
      <c r="AT156" s="563"/>
      <c r="AU156" s="559"/>
      <c r="AV156" s="148"/>
      <c r="AW156" s="148"/>
      <c r="AX156" s="148"/>
      <c r="AY156" s="148"/>
      <c r="AZ156" s="45"/>
    </row>
    <row r="157" spans="2:52" ht="15" thickBot="1" x14ac:dyDescent="0.25">
      <c r="B157" s="204" t="s">
        <v>975</v>
      </c>
      <c r="C157" s="209">
        <v>363</v>
      </c>
      <c r="D157" s="209">
        <f>E157-C157</f>
        <v>442</v>
      </c>
      <c r="E157" s="209">
        <v>805</v>
      </c>
      <c r="F157" s="209">
        <f>G157-E157</f>
        <v>448</v>
      </c>
      <c r="G157" s="209">
        <v>1253</v>
      </c>
      <c r="H157" s="209">
        <f>I157-G157</f>
        <v>555</v>
      </c>
      <c r="I157" s="209">
        <v>1808</v>
      </c>
      <c r="J157" s="210">
        <v>586</v>
      </c>
      <c r="K157" s="210">
        <f>L157-J157</f>
        <v>514</v>
      </c>
      <c r="L157" s="210">
        <v>1100</v>
      </c>
      <c r="M157" s="210">
        <f>N157-L157</f>
        <v>454</v>
      </c>
      <c r="N157" s="210">
        <v>1554</v>
      </c>
      <c r="O157" s="210">
        <f>P157-N157</f>
        <v>426</v>
      </c>
      <c r="P157" s="210">
        <v>1980</v>
      </c>
      <c r="Q157" s="209">
        <v>479</v>
      </c>
      <c r="R157" s="209">
        <f>S157-Q157</f>
        <v>669</v>
      </c>
      <c r="S157" s="209">
        <v>1148</v>
      </c>
      <c r="T157" s="209">
        <f>U157-S157</f>
        <v>510</v>
      </c>
      <c r="U157" s="209">
        <v>1658</v>
      </c>
      <c r="V157" s="209">
        <f>W157-U157</f>
        <v>469</v>
      </c>
      <c r="W157" s="209">
        <v>2127</v>
      </c>
      <c r="X157" s="210">
        <v>479</v>
      </c>
      <c r="Y157" s="210">
        <f>Z157-X157</f>
        <v>669</v>
      </c>
      <c r="Z157" s="210">
        <v>1148</v>
      </c>
      <c r="AA157" s="210">
        <f>AB157-Z157</f>
        <v>510</v>
      </c>
      <c r="AB157" s="210">
        <v>1658</v>
      </c>
      <c r="AC157" s="210">
        <f>AD157-AB157</f>
        <v>469</v>
      </c>
      <c r="AD157" s="210">
        <v>2127</v>
      </c>
      <c r="AE157" s="209">
        <v>622</v>
      </c>
      <c r="AF157" s="209">
        <f>AG157-AE157</f>
        <v>553</v>
      </c>
      <c r="AG157" s="209">
        <v>1175</v>
      </c>
      <c r="AH157" s="209">
        <f>AI157-AG157</f>
        <v>560</v>
      </c>
      <c r="AI157" s="209">
        <v>1735</v>
      </c>
      <c r="AJ157" s="209">
        <f>AK157-AI157</f>
        <v>614</v>
      </c>
      <c r="AK157" s="209">
        <v>2349</v>
      </c>
      <c r="AL157" s="557"/>
      <c r="AM157" s="557"/>
      <c r="AN157" s="557"/>
      <c r="AO157" s="210"/>
      <c r="AP157" s="210"/>
      <c r="AQ157" s="210"/>
      <c r="AR157" s="557"/>
      <c r="AS157" s="562">
        <v>558</v>
      </c>
      <c r="AT157" s="562"/>
      <c r="AU157" s="557"/>
      <c r="AV157" s="174"/>
      <c r="AW157" s="174"/>
      <c r="AX157" s="174"/>
      <c r="AY157" s="174"/>
      <c r="AZ157" s="45"/>
    </row>
    <row r="158" spans="2:52" ht="15" thickBot="1" x14ac:dyDescent="0.25">
      <c r="B158" s="45"/>
      <c r="C158" s="154"/>
      <c r="D158" s="154"/>
      <c r="E158" s="154"/>
      <c r="F158" s="154"/>
      <c r="G158" s="154"/>
      <c r="H158" s="154"/>
      <c r="I158" s="154"/>
      <c r="J158" s="173"/>
      <c r="K158" s="173"/>
      <c r="L158" s="173"/>
      <c r="M158" s="173"/>
      <c r="N158" s="173"/>
      <c r="O158" s="173"/>
      <c r="P158" s="173"/>
      <c r="Q158" s="154"/>
      <c r="R158" s="154"/>
      <c r="S158" s="154"/>
      <c r="T158" s="154"/>
      <c r="U158" s="154"/>
      <c r="V158" s="154"/>
      <c r="W158" s="154"/>
      <c r="X158" s="173"/>
      <c r="Y158" s="173"/>
      <c r="Z158" s="173"/>
      <c r="AA158" s="173"/>
      <c r="AB158" s="173"/>
      <c r="AC158" s="173"/>
      <c r="AD158" s="173"/>
      <c r="AE158" s="154"/>
      <c r="AF158" s="154"/>
      <c r="AG158" s="154"/>
      <c r="AH158" s="154"/>
      <c r="AI158" s="154"/>
      <c r="AJ158" s="154"/>
      <c r="AK158" s="154"/>
      <c r="AL158" s="195"/>
      <c r="AM158" s="195"/>
      <c r="AN158" s="195"/>
      <c r="AO158" s="173"/>
      <c r="AP158" s="173"/>
      <c r="AQ158" s="173"/>
      <c r="AR158" s="195"/>
      <c r="AS158" s="561"/>
      <c r="AT158" s="561"/>
      <c r="AU158" s="195"/>
      <c r="AV158" s="146"/>
      <c r="AW158" s="146"/>
      <c r="AX158" s="146"/>
      <c r="AY158" s="146"/>
      <c r="AZ158" s="45"/>
    </row>
    <row r="159" spans="2:52" ht="15" thickBot="1" x14ac:dyDescent="0.25">
      <c r="B159" s="64" t="s">
        <v>100</v>
      </c>
      <c r="C159" s="153">
        <f>SUM(C156:C157)</f>
        <v>1028</v>
      </c>
      <c r="D159" s="153">
        <f t="shared" ref="D159:AS159" si="19">SUM(D156:D157)</f>
        <v>1097</v>
      </c>
      <c r="E159" s="153">
        <f t="shared" si="19"/>
        <v>2125</v>
      </c>
      <c r="F159" s="153">
        <f t="shared" si="19"/>
        <v>1081</v>
      </c>
      <c r="G159" s="153">
        <f t="shared" si="19"/>
        <v>3206</v>
      </c>
      <c r="H159" s="153">
        <f t="shared" si="19"/>
        <v>1148</v>
      </c>
      <c r="I159" s="153">
        <f t="shared" si="19"/>
        <v>4354</v>
      </c>
      <c r="J159" s="175">
        <f t="shared" si="19"/>
        <v>1147</v>
      </c>
      <c r="K159" s="175">
        <f t="shared" si="19"/>
        <v>1078</v>
      </c>
      <c r="L159" s="175">
        <f t="shared" si="19"/>
        <v>2225</v>
      </c>
      <c r="M159" s="175">
        <f t="shared" si="19"/>
        <v>996</v>
      </c>
      <c r="N159" s="175">
        <f t="shared" si="19"/>
        <v>3221</v>
      </c>
      <c r="O159" s="175">
        <f t="shared" si="19"/>
        <v>922</v>
      </c>
      <c r="P159" s="175">
        <f t="shared" si="19"/>
        <v>4143</v>
      </c>
      <c r="Q159" s="153">
        <f t="shared" si="19"/>
        <v>946</v>
      </c>
      <c r="R159" s="153">
        <f t="shared" si="19"/>
        <v>1150</v>
      </c>
      <c r="S159" s="153">
        <f t="shared" si="19"/>
        <v>2096</v>
      </c>
      <c r="T159" s="153">
        <f t="shared" si="19"/>
        <v>982</v>
      </c>
      <c r="U159" s="153">
        <f t="shared" si="19"/>
        <v>3078</v>
      </c>
      <c r="V159" s="153">
        <f t="shared" si="19"/>
        <v>923</v>
      </c>
      <c r="W159" s="153">
        <f t="shared" si="19"/>
        <v>4001</v>
      </c>
      <c r="X159" s="175">
        <f t="shared" si="19"/>
        <v>946</v>
      </c>
      <c r="Y159" s="175">
        <f t="shared" si="19"/>
        <v>1150</v>
      </c>
      <c r="Z159" s="175">
        <f t="shared" si="19"/>
        <v>2096</v>
      </c>
      <c r="AA159" s="175">
        <f t="shared" si="19"/>
        <v>982</v>
      </c>
      <c r="AB159" s="175">
        <f t="shared" si="19"/>
        <v>3078</v>
      </c>
      <c r="AC159" s="175">
        <f t="shared" si="19"/>
        <v>923</v>
      </c>
      <c r="AD159" s="175">
        <f t="shared" si="19"/>
        <v>4001</v>
      </c>
      <c r="AE159" s="153">
        <f t="shared" si="19"/>
        <v>1023</v>
      </c>
      <c r="AF159" s="153">
        <f t="shared" si="19"/>
        <v>1016</v>
      </c>
      <c r="AG159" s="153">
        <f t="shared" si="19"/>
        <v>2039</v>
      </c>
      <c r="AH159" s="153">
        <f t="shared" si="19"/>
        <v>984</v>
      </c>
      <c r="AI159" s="153">
        <f t="shared" si="19"/>
        <v>3023</v>
      </c>
      <c r="AJ159" s="153">
        <f t="shared" si="19"/>
        <v>990</v>
      </c>
      <c r="AK159" s="153">
        <f t="shared" si="19"/>
        <v>4013</v>
      </c>
      <c r="AL159" s="560"/>
      <c r="AM159" s="560"/>
      <c r="AN159" s="560"/>
      <c r="AO159" s="175"/>
      <c r="AP159" s="175"/>
      <c r="AQ159" s="175"/>
      <c r="AR159" s="560"/>
      <c r="AS159" s="565">
        <f t="shared" si="19"/>
        <v>973</v>
      </c>
      <c r="AT159" s="564"/>
      <c r="AU159" s="560"/>
      <c r="AV159" s="120"/>
      <c r="AW159" s="120"/>
      <c r="AX159" s="120"/>
      <c r="AY159" s="120"/>
      <c r="AZ159" s="45"/>
    </row>
    <row r="160" spans="2:52" x14ac:dyDescent="0.2">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80"/>
      <c r="AU160" s="80"/>
      <c r="AV160" s="80"/>
      <c r="AW160" s="80"/>
      <c r="AX160" s="80"/>
      <c r="AY160" s="80"/>
      <c r="AZ160" s="45"/>
    </row>
    <row r="161" spans="1:51" x14ac:dyDescent="0.2">
      <c r="AT161" s="105"/>
      <c r="AU161" s="105"/>
      <c r="AV161" s="105"/>
      <c r="AW161" s="105"/>
      <c r="AX161" s="105"/>
      <c r="AY161" s="105"/>
    </row>
    <row r="162" spans="1:51" x14ac:dyDescent="0.2">
      <c r="AT162" s="105"/>
      <c r="AU162" s="105"/>
      <c r="AV162" s="105"/>
      <c r="AW162" s="105"/>
      <c r="AX162" s="105"/>
      <c r="AY162" s="105"/>
    </row>
    <row r="163" spans="1:51" ht="21" thickBot="1" x14ac:dyDescent="0.35">
      <c r="B163" s="189" t="s">
        <v>765</v>
      </c>
      <c r="C163" s="172"/>
      <c r="D163" s="172"/>
      <c r="E163" s="172"/>
      <c r="F163" s="172">
        <v>2015</v>
      </c>
      <c r="G163" s="172"/>
      <c r="H163" s="172"/>
      <c r="I163" s="78"/>
      <c r="J163" s="172"/>
      <c r="K163" s="172"/>
      <c r="L163" s="172"/>
      <c r="M163" s="172">
        <v>2016</v>
      </c>
      <c r="N163" s="172"/>
      <c r="O163" s="172"/>
      <c r="P163" s="78"/>
      <c r="Q163" s="172"/>
      <c r="R163" s="172"/>
      <c r="S163" s="172"/>
      <c r="T163" s="172">
        <v>2017</v>
      </c>
      <c r="U163" s="172"/>
      <c r="V163" s="172"/>
      <c r="W163" s="78"/>
      <c r="X163" s="172"/>
      <c r="Y163" s="172"/>
      <c r="Z163" s="172"/>
      <c r="AA163" s="172" t="s">
        <v>779</v>
      </c>
      <c r="AB163" s="172"/>
      <c r="AC163" s="172"/>
      <c r="AD163" s="78"/>
      <c r="AE163" s="172"/>
      <c r="AF163" s="172"/>
      <c r="AG163" s="172"/>
      <c r="AH163" s="531" t="s">
        <v>963</v>
      </c>
      <c r="AI163" s="172"/>
      <c r="AJ163" s="172"/>
      <c r="AK163" s="78"/>
      <c r="AL163" s="78"/>
      <c r="AM163" s="78"/>
      <c r="AN163" s="78"/>
      <c r="AO163" s="554" t="s">
        <v>1037</v>
      </c>
      <c r="AP163" s="78"/>
      <c r="AQ163" s="78"/>
      <c r="AR163" s="78"/>
      <c r="AS163" s="172"/>
      <c r="AT163" s="551"/>
      <c r="AU163" s="551"/>
      <c r="AV163" s="535" t="s">
        <v>964</v>
      </c>
      <c r="AW163" s="535"/>
      <c r="AX163" s="535"/>
      <c r="AY163" s="535"/>
    </row>
    <row r="164" spans="1:51" ht="15" thickBot="1" x14ac:dyDescent="0.25">
      <c r="B164" s="114" t="s">
        <v>740</v>
      </c>
      <c r="C164" s="82" t="s">
        <v>621</v>
      </c>
      <c r="D164" s="82" t="s">
        <v>622</v>
      </c>
      <c r="E164" s="82" t="s">
        <v>623</v>
      </c>
      <c r="F164" s="82" t="s">
        <v>624</v>
      </c>
      <c r="G164" s="82" t="s">
        <v>81</v>
      </c>
      <c r="H164" s="82" t="s">
        <v>625</v>
      </c>
      <c r="I164" s="82" t="s">
        <v>82</v>
      </c>
      <c r="J164" s="73" t="s">
        <v>621</v>
      </c>
      <c r="K164" s="73" t="s">
        <v>622</v>
      </c>
      <c r="L164" s="73" t="s">
        <v>623</v>
      </c>
      <c r="M164" s="73" t="s">
        <v>624</v>
      </c>
      <c r="N164" s="73" t="s">
        <v>81</v>
      </c>
      <c r="O164" s="73" t="s">
        <v>625</v>
      </c>
      <c r="P164" s="192" t="s">
        <v>775</v>
      </c>
      <c r="Q164" s="82" t="s">
        <v>621</v>
      </c>
      <c r="R164" s="82" t="s">
        <v>622</v>
      </c>
      <c r="S164" s="82" t="s">
        <v>623</v>
      </c>
      <c r="T164" s="82" t="s">
        <v>624</v>
      </c>
      <c r="U164" s="82" t="s">
        <v>81</v>
      </c>
      <c r="V164" s="82" t="s">
        <v>625</v>
      </c>
      <c r="W164" s="82" t="s">
        <v>82</v>
      </c>
      <c r="X164" s="73" t="s">
        <v>621</v>
      </c>
      <c r="Y164" s="73" t="s">
        <v>622</v>
      </c>
      <c r="Z164" s="73" t="s">
        <v>623</v>
      </c>
      <c r="AA164" s="73" t="s">
        <v>624</v>
      </c>
      <c r="AB164" s="73" t="s">
        <v>81</v>
      </c>
      <c r="AC164" s="73" t="s">
        <v>625</v>
      </c>
      <c r="AD164" s="73" t="s">
        <v>82</v>
      </c>
      <c r="AE164" s="82" t="s">
        <v>621</v>
      </c>
      <c r="AF164" s="82" t="s">
        <v>622</v>
      </c>
      <c r="AG164" s="82" t="s">
        <v>623</v>
      </c>
      <c r="AH164" s="82" t="s">
        <v>624</v>
      </c>
      <c r="AI164" s="82" t="s">
        <v>81</v>
      </c>
      <c r="AJ164" s="82" t="s">
        <v>625</v>
      </c>
      <c r="AK164" s="82" t="s">
        <v>82</v>
      </c>
      <c r="AL164" s="73" t="s">
        <v>621</v>
      </c>
      <c r="AM164" s="73" t="s">
        <v>622</v>
      </c>
      <c r="AN164" s="73" t="s">
        <v>623</v>
      </c>
      <c r="AO164" s="73" t="s">
        <v>624</v>
      </c>
      <c r="AP164" s="73" t="s">
        <v>81</v>
      </c>
      <c r="AQ164" s="73" t="s">
        <v>625</v>
      </c>
      <c r="AR164" s="73" t="s">
        <v>82</v>
      </c>
      <c r="AS164" s="82" t="s">
        <v>621</v>
      </c>
      <c r="AT164" s="82" t="s">
        <v>622</v>
      </c>
      <c r="AU164" s="82" t="s">
        <v>623</v>
      </c>
      <c r="AV164" s="82" t="s">
        <v>624</v>
      </c>
      <c r="AW164" s="82" t="s">
        <v>81</v>
      </c>
      <c r="AX164" s="82" t="s">
        <v>625</v>
      </c>
      <c r="AY164" s="82" t="s">
        <v>82</v>
      </c>
    </row>
    <row r="165" spans="1:51" s="105" customFormat="1" x14ac:dyDescent="0.2">
      <c r="A165" s="13"/>
      <c r="B165" s="141"/>
      <c r="C165" s="142"/>
      <c r="D165" s="142"/>
      <c r="E165" s="142"/>
      <c r="F165" s="142"/>
      <c r="G165" s="142"/>
      <c r="H165" s="142"/>
      <c r="I165" s="142"/>
      <c r="J165" s="142"/>
      <c r="K165" s="142"/>
      <c r="L165" s="142"/>
      <c r="M165" s="142"/>
      <c r="N165" s="142"/>
      <c r="O165" s="142"/>
      <c r="P165" s="206"/>
      <c r="Q165" s="142"/>
      <c r="R165" s="142"/>
      <c r="S165" s="142"/>
      <c r="T165" s="142"/>
      <c r="U165" s="142"/>
      <c r="V165" s="142"/>
      <c r="W165" s="142"/>
      <c r="X165" s="142"/>
      <c r="Y165" s="142"/>
      <c r="Z165" s="142"/>
      <c r="AA165" s="142"/>
      <c r="AB165" s="142"/>
      <c r="AC165" s="142"/>
      <c r="AD165" s="142"/>
      <c r="AE165" s="142"/>
      <c r="AF165" s="142"/>
      <c r="AG165" s="142"/>
      <c r="AH165" s="142"/>
      <c r="AI165" s="142"/>
      <c r="AJ165" s="142"/>
      <c r="AK165" s="142"/>
      <c r="AL165" s="142"/>
      <c r="AM165" s="142"/>
      <c r="AN165" s="142"/>
      <c r="AO165" s="142"/>
      <c r="AP165" s="142"/>
      <c r="AQ165" s="142"/>
      <c r="AR165" s="142"/>
      <c r="AS165" s="142"/>
      <c r="AT165" s="142"/>
      <c r="AU165" s="142"/>
      <c r="AV165" s="142"/>
      <c r="AW165" s="142"/>
      <c r="AX165" s="142"/>
      <c r="AY165" s="142"/>
    </row>
    <row r="166" spans="1:51" x14ac:dyDescent="0.2">
      <c r="B166" s="213" t="s">
        <v>101</v>
      </c>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80"/>
      <c r="AU166" s="80"/>
      <c r="AV166" s="80"/>
      <c r="AW166" s="80"/>
      <c r="AX166" s="80"/>
      <c r="AY166" s="80"/>
    </row>
    <row r="167" spans="1:51" ht="15" thickBot="1" x14ac:dyDescent="0.25">
      <c r="B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80"/>
      <c r="AU167" s="80"/>
      <c r="AV167" s="80"/>
      <c r="AW167" s="80"/>
      <c r="AX167" s="80"/>
      <c r="AY167" s="80"/>
    </row>
    <row r="168" spans="1:51" ht="15" thickBot="1" x14ac:dyDescent="0.25">
      <c r="B168" s="64" t="s">
        <v>1020</v>
      </c>
      <c r="C168" s="249">
        <f>12-244</f>
        <v>-232</v>
      </c>
      <c r="D168" s="249">
        <f>E168-C168</f>
        <v>-150</v>
      </c>
      <c r="E168" s="249">
        <f>24-406</f>
        <v>-382</v>
      </c>
      <c r="F168" s="156">
        <f>G168-E168</f>
        <v>-179</v>
      </c>
      <c r="G168" s="156">
        <f>36-597</f>
        <v>-561</v>
      </c>
      <c r="H168" s="156">
        <f>I168-G168</f>
        <v>-167</v>
      </c>
      <c r="I168" s="156">
        <f>49-777</f>
        <v>-728</v>
      </c>
      <c r="J168" s="197">
        <f>12-183</f>
        <v>-171</v>
      </c>
      <c r="K168" s="197">
        <f>L168-J168</f>
        <v>-122</v>
      </c>
      <c r="L168" s="197">
        <f>25-318</f>
        <v>-293</v>
      </c>
      <c r="M168" s="197">
        <f>N168-L168</f>
        <v>-158</v>
      </c>
      <c r="N168" s="197">
        <f>37-488</f>
        <v>-451</v>
      </c>
      <c r="O168" s="197">
        <f>P168-N168</f>
        <v>-228</v>
      </c>
      <c r="P168" s="197">
        <f>51-730</f>
        <v>-679</v>
      </c>
      <c r="Q168" s="156">
        <f>12-237</f>
        <v>-225</v>
      </c>
      <c r="R168" s="156">
        <f>S168-Q168</f>
        <v>-172</v>
      </c>
      <c r="S168" s="156">
        <f>24-421</f>
        <v>-397</v>
      </c>
      <c r="T168" s="156">
        <f>U168-S168</f>
        <v>-184</v>
      </c>
      <c r="U168" s="156">
        <f>36-617</f>
        <v>-581</v>
      </c>
      <c r="V168" s="156">
        <f>W168-U168</f>
        <v>-198</v>
      </c>
      <c r="W168" s="156">
        <f>54-833</f>
        <v>-779</v>
      </c>
      <c r="X168" s="197">
        <f>12-237</f>
        <v>-225</v>
      </c>
      <c r="Y168" s="197">
        <f>Z168-X168</f>
        <v>-172</v>
      </c>
      <c r="Z168" s="197">
        <f>24-421</f>
        <v>-397</v>
      </c>
      <c r="AA168" s="197">
        <f>AB168-Z168</f>
        <v>-184</v>
      </c>
      <c r="AB168" s="197">
        <f>36-617</f>
        <v>-581</v>
      </c>
      <c r="AC168" s="197">
        <f>AD168-AB168</f>
        <v>-198</v>
      </c>
      <c r="AD168" s="197">
        <f>54-833</f>
        <v>-779</v>
      </c>
      <c r="AE168" s="156">
        <f>14-201</f>
        <v>-187</v>
      </c>
      <c r="AF168" s="156">
        <f>AG168-AE168</f>
        <v>-125</v>
      </c>
      <c r="AG168" s="156">
        <f>29-341</f>
        <v>-312</v>
      </c>
      <c r="AH168" s="156">
        <f>AI168-AG168</f>
        <v>-188</v>
      </c>
      <c r="AI168" s="156">
        <f>45-545</f>
        <v>-500</v>
      </c>
      <c r="AJ168" s="156">
        <f>AK168-AI168</f>
        <v>-207</v>
      </c>
      <c r="AK168" s="156">
        <f>69-776</f>
        <v>-707</v>
      </c>
      <c r="AL168" s="560"/>
      <c r="AM168" s="560"/>
      <c r="AN168" s="197">
        <f>29-337</f>
        <v>-308</v>
      </c>
      <c r="AO168" s="197"/>
      <c r="AP168" s="197"/>
      <c r="AQ168" s="197"/>
      <c r="AR168" s="197">
        <f>69-766</f>
        <v>-697</v>
      </c>
      <c r="AS168" s="566">
        <f>14-267</f>
        <v>-253</v>
      </c>
      <c r="AT168" s="560"/>
      <c r="AU168" s="572">
        <f>27-477</f>
        <v>-450</v>
      </c>
      <c r="AV168" s="120"/>
      <c r="AW168" s="120"/>
      <c r="AX168" s="120"/>
      <c r="AY168" s="120"/>
    </row>
    <row r="169" spans="1:51" ht="15" thickBot="1" x14ac:dyDescent="0.25">
      <c r="B169" s="191"/>
      <c r="C169" s="154"/>
      <c r="D169" s="198"/>
      <c r="E169" s="154"/>
      <c r="F169" s="198"/>
      <c r="G169" s="154"/>
      <c r="H169" s="198"/>
      <c r="I169" s="154"/>
      <c r="J169" s="173"/>
      <c r="K169" s="240"/>
      <c r="L169" s="173"/>
      <c r="M169" s="240"/>
      <c r="N169" s="173"/>
      <c r="O169" s="240"/>
      <c r="P169" s="173"/>
      <c r="Q169" s="154"/>
      <c r="R169" s="198"/>
      <c r="S169" s="154"/>
      <c r="T169" s="198"/>
      <c r="U169" s="154"/>
      <c r="V169" s="198"/>
      <c r="W169" s="154"/>
      <c r="X169" s="173"/>
      <c r="Y169" s="240"/>
      <c r="Z169" s="173"/>
      <c r="AA169" s="240"/>
      <c r="AB169" s="173"/>
      <c r="AC169" s="240"/>
      <c r="AD169" s="173"/>
      <c r="AE169" s="154"/>
      <c r="AF169" s="198"/>
      <c r="AG169" s="154"/>
      <c r="AH169" s="198"/>
      <c r="AI169" s="154"/>
      <c r="AJ169" s="198"/>
      <c r="AK169" s="154"/>
      <c r="AL169" s="195"/>
      <c r="AM169" s="195"/>
      <c r="AN169" s="173"/>
      <c r="AO169" s="173"/>
      <c r="AP169" s="173"/>
      <c r="AQ169" s="173"/>
      <c r="AR169" s="173"/>
      <c r="AS169" s="567"/>
      <c r="AT169" s="195"/>
      <c r="AU169" s="146"/>
      <c r="AV169" s="146"/>
      <c r="AW169" s="146"/>
      <c r="AX169" s="146"/>
      <c r="AY169" s="146"/>
    </row>
    <row r="170" spans="1:51" ht="15" thickBot="1" x14ac:dyDescent="0.25">
      <c r="B170" s="64" t="s">
        <v>84</v>
      </c>
      <c r="C170" s="249">
        <v>-21</v>
      </c>
      <c r="D170" s="249">
        <f>E170-C170</f>
        <v>-25</v>
      </c>
      <c r="E170" s="249">
        <v>-46</v>
      </c>
      <c r="F170" s="156">
        <f>G170-E170</f>
        <v>-23</v>
      </c>
      <c r="G170" s="156">
        <v>-69</v>
      </c>
      <c r="H170" s="156">
        <f>I170-G170</f>
        <v>-25</v>
      </c>
      <c r="I170" s="156">
        <v>-94</v>
      </c>
      <c r="J170" s="197">
        <v>-18</v>
      </c>
      <c r="K170" s="197">
        <f>L170-J170</f>
        <v>-24</v>
      </c>
      <c r="L170" s="197">
        <v>-42</v>
      </c>
      <c r="M170" s="197">
        <f>N170-L170</f>
        <v>-18</v>
      </c>
      <c r="N170" s="197">
        <v>-60</v>
      </c>
      <c r="O170" s="197">
        <f>P170-N170</f>
        <v>-34</v>
      </c>
      <c r="P170" s="197">
        <v>-94</v>
      </c>
      <c r="Q170" s="156">
        <v>-20</v>
      </c>
      <c r="R170" s="156">
        <f>S170-Q170</f>
        <v>-32</v>
      </c>
      <c r="S170" s="156">
        <v>-52</v>
      </c>
      <c r="T170" s="156">
        <f>U170-S170</f>
        <v>-13</v>
      </c>
      <c r="U170" s="156">
        <v>-65</v>
      </c>
      <c r="V170" s="156">
        <f>W170-U170</f>
        <v>-34</v>
      </c>
      <c r="W170" s="156">
        <v>-99</v>
      </c>
      <c r="X170" s="197">
        <v>-20</v>
      </c>
      <c r="Y170" s="197">
        <f>Z170-X170</f>
        <v>-32</v>
      </c>
      <c r="Z170" s="197">
        <v>-52</v>
      </c>
      <c r="AA170" s="197">
        <f>AB170-Z170</f>
        <v>-13</v>
      </c>
      <c r="AB170" s="197">
        <v>-65</v>
      </c>
      <c r="AC170" s="197">
        <f>AD170-AB170</f>
        <v>-34</v>
      </c>
      <c r="AD170" s="197">
        <v>-99</v>
      </c>
      <c r="AE170" s="156">
        <v>-25</v>
      </c>
      <c r="AF170" s="156">
        <f>AG170-AE170</f>
        <v>-29</v>
      </c>
      <c r="AG170" s="156">
        <v>-54</v>
      </c>
      <c r="AH170" s="156">
        <f>AI170-AG170</f>
        <v>-23</v>
      </c>
      <c r="AI170" s="156">
        <v>-77</v>
      </c>
      <c r="AJ170" s="156">
        <f>AK170-AI170</f>
        <v>-28</v>
      </c>
      <c r="AK170" s="156">
        <v>-105</v>
      </c>
      <c r="AL170" s="560"/>
      <c r="AM170" s="560"/>
      <c r="AN170" s="197">
        <v>-54</v>
      </c>
      <c r="AO170" s="197"/>
      <c r="AP170" s="197"/>
      <c r="AQ170" s="197"/>
      <c r="AR170" s="197">
        <v>-105</v>
      </c>
      <c r="AS170" s="566">
        <v>-20</v>
      </c>
      <c r="AT170" s="560"/>
      <c r="AU170" s="572">
        <v>-51</v>
      </c>
      <c r="AV170" s="120"/>
      <c r="AW170" s="120"/>
      <c r="AX170" s="120"/>
      <c r="AY170" s="120"/>
    </row>
    <row r="171" spans="1:51" x14ac:dyDescent="0.2">
      <c r="B171" s="191"/>
      <c r="C171" s="154"/>
      <c r="D171" s="198"/>
      <c r="E171" s="154"/>
      <c r="F171" s="198"/>
      <c r="G171" s="154"/>
      <c r="H171" s="198"/>
      <c r="I171" s="154"/>
      <c r="J171" s="173"/>
      <c r="K171" s="240"/>
      <c r="L171" s="173"/>
      <c r="M171" s="240"/>
      <c r="N171" s="173"/>
      <c r="O171" s="240"/>
      <c r="P171" s="173"/>
      <c r="Q171" s="154"/>
      <c r="R171" s="198"/>
      <c r="S171" s="154"/>
      <c r="T171" s="198"/>
      <c r="U171" s="154"/>
      <c r="V171" s="198"/>
      <c r="W171" s="154"/>
      <c r="X171" s="173"/>
      <c r="Y171" s="240"/>
      <c r="Z171" s="173"/>
      <c r="AA171" s="240"/>
      <c r="AB171" s="173"/>
      <c r="AC171" s="240"/>
      <c r="AD171" s="173"/>
      <c r="AE171" s="154"/>
      <c r="AF171" s="198"/>
      <c r="AG171" s="154"/>
      <c r="AH171" s="198"/>
      <c r="AI171" s="154"/>
      <c r="AJ171" s="198"/>
      <c r="AK171" s="154"/>
      <c r="AL171" s="195"/>
      <c r="AM171" s="195"/>
      <c r="AN171" s="173"/>
      <c r="AO171" s="173"/>
      <c r="AP171" s="173"/>
      <c r="AQ171" s="173"/>
      <c r="AR171" s="195"/>
      <c r="AS171" s="195"/>
      <c r="AT171" s="195"/>
      <c r="AU171" s="146"/>
      <c r="AV171" s="146"/>
      <c r="AW171" s="146"/>
      <c r="AX171" s="146"/>
      <c r="AY171" s="146"/>
    </row>
    <row r="172" spans="1:51" x14ac:dyDescent="0.2">
      <c r="B172" s="80" t="s">
        <v>27</v>
      </c>
      <c r="C172" s="154"/>
      <c r="D172" s="198"/>
      <c r="E172" s="154"/>
      <c r="F172" s="198"/>
      <c r="G172" s="154"/>
      <c r="H172" s="198"/>
      <c r="I172" s="154"/>
      <c r="J172" s="173"/>
      <c r="K172" s="240"/>
      <c r="L172" s="173"/>
      <c r="M172" s="240"/>
      <c r="N172" s="173"/>
      <c r="O172" s="240"/>
      <c r="P172" s="173"/>
      <c r="Q172" s="154"/>
      <c r="R172" s="198"/>
      <c r="S172" s="154"/>
      <c r="T172" s="198"/>
      <c r="U172" s="154"/>
      <c r="V172" s="198"/>
      <c r="W172" s="154"/>
      <c r="X172" s="173"/>
      <c r="Y172" s="240"/>
      <c r="Z172" s="173"/>
      <c r="AA172" s="240"/>
      <c r="AB172" s="173"/>
      <c r="AC172" s="240"/>
      <c r="AD172" s="173"/>
      <c r="AE172" s="154"/>
      <c r="AF172" s="198"/>
      <c r="AG172" s="154"/>
      <c r="AH172" s="198"/>
      <c r="AI172" s="154"/>
      <c r="AJ172" s="198"/>
      <c r="AK172" s="154"/>
      <c r="AL172" s="195"/>
      <c r="AM172" s="195"/>
      <c r="AN172" s="173"/>
      <c r="AO172" s="173"/>
      <c r="AP172" s="173"/>
      <c r="AQ172" s="173"/>
      <c r="AR172" s="195"/>
      <c r="AS172" s="195"/>
      <c r="AT172" s="195"/>
      <c r="AU172" s="146">
        <v>1</v>
      </c>
      <c r="AV172" s="146"/>
      <c r="AW172" s="146"/>
      <c r="AX172" s="146"/>
      <c r="AY172" s="146"/>
    </row>
    <row r="173" spans="1:51" x14ac:dyDescent="0.2">
      <c r="B173" s="80" t="s">
        <v>42</v>
      </c>
      <c r="C173" s="155">
        <v>-2</v>
      </c>
      <c r="D173" s="250">
        <f>E173-C173</f>
        <v>-2</v>
      </c>
      <c r="E173" s="155">
        <v>-4</v>
      </c>
      <c r="F173" s="250">
        <f>G173-E173</f>
        <v>-1</v>
      </c>
      <c r="G173" s="155">
        <v>-5</v>
      </c>
      <c r="H173" s="250">
        <f>I173-G173</f>
        <v>-2</v>
      </c>
      <c r="I173" s="155">
        <v>-7</v>
      </c>
      <c r="J173" s="196">
        <v>-2</v>
      </c>
      <c r="K173" s="251">
        <f>L173-J173</f>
        <v>-2</v>
      </c>
      <c r="L173" s="196">
        <v>-4</v>
      </c>
      <c r="M173" s="251">
        <f>N173-L173</f>
        <v>-1</v>
      </c>
      <c r="N173" s="196">
        <v>-5</v>
      </c>
      <c r="O173" s="251">
        <f>P173-N173</f>
        <v>-3</v>
      </c>
      <c r="P173" s="196">
        <v>-8</v>
      </c>
      <c r="Q173" s="252">
        <v>-2</v>
      </c>
      <c r="R173" s="250">
        <f>S173-Q173</f>
        <v>-1</v>
      </c>
      <c r="S173" s="155">
        <v>-3</v>
      </c>
      <c r="T173" s="198">
        <f>U173-S173</f>
        <v>8</v>
      </c>
      <c r="U173" s="229">
        <v>5</v>
      </c>
      <c r="V173" s="250">
        <f>W173-U173</f>
        <v>-13</v>
      </c>
      <c r="W173" s="155">
        <v>-8</v>
      </c>
      <c r="X173" s="216">
        <v>2</v>
      </c>
      <c r="Y173" s="251">
        <f>Z173-X173</f>
        <v>-5</v>
      </c>
      <c r="Z173" s="196">
        <v>-3</v>
      </c>
      <c r="AA173" s="240">
        <f>AB173-Z173</f>
        <v>8</v>
      </c>
      <c r="AB173" s="216">
        <v>5</v>
      </c>
      <c r="AC173" s="251">
        <f>AD173-AB173</f>
        <v>-13</v>
      </c>
      <c r="AD173" s="196">
        <v>-8</v>
      </c>
      <c r="AE173" s="154">
        <v>1</v>
      </c>
      <c r="AF173" s="250">
        <f>AG173-AE173</f>
        <v>-3</v>
      </c>
      <c r="AG173" s="155">
        <v>-2</v>
      </c>
      <c r="AH173" s="198">
        <f>AI173-AG173</f>
        <v>5</v>
      </c>
      <c r="AI173" s="229">
        <v>3</v>
      </c>
      <c r="AJ173" s="250">
        <f>AK173-AI173</f>
        <v>-8</v>
      </c>
      <c r="AK173" s="155">
        <v>-5</v>
      </c>
      <c r="AL173" s="195"/>
      <c r="AM173" s="195"/>
      <c r="AN173" s="196">
        <v>-2</v>
      </c>
      <c r="AO173" s="196"/>
      <c r="AP173" s="196"/>
      <c r="AQ173" s="196"/>
      <c r="AR173" s="195"/>
      <c r="AS173" s="561">
        <f>3+1</f>
        <v>4</v>
      </c>
      <c r="AT173" s="195"/>
      <c r="AU173" s="571">
        <v>-8</v>
      </c>
      <c r="AV173" s="146"/>
      <c r="AW173" s="146"/>
      <c r="AX173" s="146"/>
      <c r="AY173" s="146"/>
    </row>
    <row r="174" spans="1:51" x14ac:dyDescent="0.2">
      <c r="B174" s="80" t="s">
        <v>778</v>
      </c>
      <c r="C174" s="155">
        <v>-7</v>
      </c>
      <c r="D174" s="250">
        <f>E174-C174</f>
        <v>-4</v>
      </c>
      <c r="E174" s="155">
        <v>-11</v>
      </c>
      <c r="F174" s="250">
        <f>G174-E174</f>
        <v>-11</v>
      </c>
      <c r="G174" s="155">
        <v>-22</v>
      </c>
      <c r="H174" s="250">
        <f>I174-G174</f>
        <v>-1</v>
      </c>
      <c r="I174" s="155">
        <v>-23</v>
      </c>
      <c r="J174" s="173">
        <v>0</v>
      </c>
      <c r="K174" s="251">
        <f>L174-J174</f>
        <v>-1</v>
      </c>
      <c r="L174" s="196">
        <v>-1</v>
      </c>
      <c r="M174" s="251">
        <f>N174-L174</f>
        <v>-5</v>
      </c>
      <c r="N174" s="196">
        <v>-6</v>
      </c>
      <c r="O174" s="251">
        <f>P174-N174</f>
        <v>-7</v>
      </c>
      <c r="P174" s="196">
        <v>-13</v>
      </c>
      <c r="Q174" s="241"/>
      <c r="R174" s="242"/>
      <c r="S174" s="155">
        <v>-6</v>
      </c>
      <c r="T174" s="241"/>
      <c r="U174" s="241"/>
      <c r="V174" s="241"/>
      <c r="W174" s="154">
        <v>100</v>
      </c>
      <c r="X174" s="241"/>
      <c r="Y174" s="241"/>
      <c r="Z174" s="196">
        <v>-6</v>
      </c>
      <c r="AA174" s="241"/>
      <c r="AB174" s="241"/>
      <c r="AC174" s="241"/>
      <c r="AD174" s="173">
        <f>131-31</f>
        <v>100</v>
      </c>
      <c r="AE174" s="241"/>
      <c r="AF174" s="241"/>
      <c r="AG174" s="155">
        <v>-13</v>
      </c>
      <c r="AH174" s="241"/>
      <c r="AI174" s="241"/>
      <c r="AJ174" s="241"/>
      <c r="AK174" s="155">
        <v>-23</v>
      </c>
      <c r="AL174" s="195"/>
      <c r="AM174" s="195"/>
      <c r="AN174" s="196">
        <v>-13</v>
      </c>
      <c r="AO174" s="196"/>
      <c r="AP174" s="196"/>
      <c r="AQ174" s="196"/>
      <c r="AR174" s="195"/>
      <c r="AS174" s="195"/>
      <c r="AT174" s="195"/>
      <c r="AU174" s="571">
        <v>-15</v>
      </c>
      <c r="AV174" s="146"/>
      <c r="AW174" s="146"/>
      <c r="AX174" s="146"/>
      <c r="AY174" s="146"/>
    </row>
    <row r="175" spans="1:51" ht="15" thickBot="1" x14ac:dyDescent="0.25">
      <c r="B175" s="80"/>
      <c r="C175" s="154"/>
      <c r="D175" s="198"/>
      <c r="E175" s="154"/>
      <c r="F175" s="198"/>
      <c r="G175" s="154"/>
      <c r="H175" s="198"/>
      <c r="I175" s="154"/>
      <c r="J175" s="173"/>
      <c r="K175" s="240"/>
      <c r="L175" s="173"/>
      <c r="M175" s="240"/>
      <c r="N175" s="173"/>
      <c r="O175" s="240"/>
      <c r="P175" s="173"/>
      <c r="Q175" s="229"/>
      <c r="R175" s="198"/>
      <c r="S175" s="154"/>
      <c r="T175" s="229"/>
      <c r="U175" s="229"/>
      <c r="V175" s="229"/>
      <c r="W175" s="154"/>
      <c r="X175" s="216"/>
      <c r="Y175" s="216"/>
      <c r="Z175" s="173"/>
      <c r="AA175" s="216"/>
      <c r="AB175" s="216"/>
      <c r="AC175" s="216"/>
      <c r="AD175" s="173"/>
      <c r="AE175" s="229"/>
      <c r="AF175" s="229"/>
      <c r="AG175" s="154"/>
      <c r="AH175" s="229"/>
      <c r="AI175" s="229"/>
      <c r="AJ175" s="229"/>
      <c r="AK175" s="154"/>
      <c r="AL175" s="195"/>
      <c r="AM175" s="195"/>
      <c r="AN175" s="173"/>
      <c r="AO175" s="173"/>
      <c r="AP175" s="173"/>
      <c r="AQ175" s="173"/>
      <c r="AR175" s="195"/>
      <c r="AS175" s="195"/>
      <c r="AT175" s="195"/>
      <c r="AU175" s="146"/>
      <c r="AV175" s="146"/>
      <c r="AW175" s="146"/>
      <c r="AX175" s="146"/>
      <c r="AY175" s="146"/>
    </row>
    <row r="176" spans="1:51" ht="15" thickBot="1" x14ac:dyDescent="0.25">
      <c r="B176" s="81" t="s">
        <v>44</v>
      </c>
      <c r="C176" s="156">
        <f>SUM(C170:C174)</f>
        <v>-30</v>
      </c>
      <c r="D176" s="156">
        <f t="shared" ref="D176:P176" si="20">SUM(D170:D174)</f>
        <v>-31</v>
      </c>
      <c r="E176" s="156">
        <f t="shared" si="20"/>
        <v>-61</v>
      </c>
      <c r="F176" s="156">
        <f t="shared" si="20"/>
        <v>-35</v>
      </c>
      <c r="G176" s="156">
        <f t="shared" si="20"/>
        <v>-96</v>
      </c>
      <c r="H176" s="156">
        <f t="shared" si="20"/>
        <v>-28</v>
      </c>
      <c r="I176" s="156">
        <f t="shared" si="20"/>
        <v>-124</v>
      </c>
      <c r="J176" s="197">
        <f t="shared" si="20"/>
        <v>-20</v>
      </c>
      <c r="K176" s="197">
        <f t="shared" si="20"/>
        <v>-27</v>
      </c>
      <c r="L176" s="197">
        <f t="shared" si="20"/>
        <v>-47</v>
      </c>
      <c r="M176" s="197">
        <f t="shared" si="20"/>
        <v>-24</v>
      </c>
      <c r="N176" s="197">
        <f t="shared" si="20"/>
        <v>-71</v>
      </c>
      <c r="O176" s="197">
        <f t="shared" si="20"/>
        <v>-44</v>
      </c>
      <c r="P176" s="197">
        <f t="shared" si="20"/>
        <v>-115</v>
      </c>
      <c r="Q176" s="243"/>
      <c r="R176" s="244"/>
      <c r="S176" s="156">
        <f>SUM(S170:S174)</f>
        <v>-61</v>
      </c>
      <c r="T176" s="243"/>
      <c r="U176" s="243"/>
      <c r="V176" s="243"/>
      <c r="W176" s="156">
        <f>SUM(W170:W174)</f>
        <v>-7</v>
      </c>
      <c r="X176" s="243"/>
      <c r="Y176" s="243"/>
      <c r="Z176" s="197">
        <f>SUM(Z170:Z174)</f>
        <v>-61</v>
      </c>
      <c r="AA176" s="243"/>
      <c r="AB176" s="243"/>
      <c r="AC176" s="243"/>
      <c r="AD176" s="197">
        <f>SUM(AD170:AD174)</f>
        <v>-7</v>
      </c>
      <c r="AE176" s="243"/>
      <c r="AF176" s="243"/>
      <c r="AG176" s="156">
        <f>SUM(AG170:AG174)</f>
        <v>-69</v>
      </c>
      <c r="AH176" s="243"/>
      <c r="AI176" s="243"/>
      <c r="AJ176" s="243"/>
      <c r="AK176" s="156">
        <f>SUM(AK170:AK174)</f>
        <v>-133</v>
      </c>
      <c r="AL176" s="560"/>
      <c r="AM176" s="560"/>
      <c r="AN176" s="197">
        <f>+AN170+SUM(AN171:AN175)</f>
        <v>-69</v>
      </c>
      <c r="AO176" s="197"/>
      <c r="AP176" s="197"/>
      <c r="AQ176" s="197"/>
      <c r="AR176" s="560"/>
      <c r="AS176" s="560"/>
      <c r="AT176" s="560"/>
      <c r="AU176" s="120">
        <f>+AU170+SUM(AU172:AU174)</f>
        <v>-73</v>
      </c>
      <c r="AV176" s="120"/>
      <c r="AW176" s="120"/>
      <c r="AX176" s="120"/>
      <c r="AY176" s="120"/>
    </row>
    <row r="177" spans="2:52" ht="15" thickBot="1" x14ac:dyDescent="0.25">
      <c r="B177" s="84"/>
      <c r="C177" s="154"/>
      <c r="D177" s="198"/>
      <c r="E177" s="154"/>
      <c r="F177" s="198"/>
      <c r="G177" s="154"/>
      <c r="H177" s="198"/>
      <c r="I177" s="154"/>
      <c r="J177" s="173"/>
      <c r="K177" s="240"/>
      <c r="L177" s="173"/>
      <c r="M177" s="240"/>
      <c r="N177" s="173"/>
      <c r="O177" s="240"/>
      <c r="P177" s="173"/>
      <c r="Q177" s="229"/>
      <c r="R177" s="198"/>
      <c r="S177" s="154"/>
      <c r="T177" s="229"/>
      <c r="U177" s="229"/>
      <c r="V177" s="229"/>
      <c r="W177" s="154"/>
      <c r="X177" s="216"/>
      <c r="Y177" s="216"/>
      <c r="Z177" s="173"/>
      <c r="AA177" s="216"/>
      <c r="AB177" s="216"/>
      <c r="AC177" s="216"/>
      <c r="AD177" s="173"/>
      <c r="AE177" s="229"/>
      <c r="AF177" s="229"/>
      <c r="AG177" s="154"/>
      <c r="AH177" s="229"/>
      <c r="AI177" s="229"/>
      <c r="AJ177" s="229"/>
      <c r="AK177" s="154"/>
      <c r="AL177" s="195"/>
      <c r="AM177" s="195"/>
      <c r="AN177" s="173"/>
      <c r="AO177" s="173"/>
      <c r="AP177" s="173"/>
      <c r="AQ177" s="173"/>
      <c r="AR177" s="195"/>
      <c r="AS177" s="195"/>
      <c r="AT177" s="195"/>
      <c r="AU177" s="146"/>
      <c r="AV177" s="146"/>
      <c r="AW177" s="146"/>
      <c r="AX177" s="146"/>
      <c r="AY177" s="146"/>
    </row>
    <row r="178" spans="2:52" x14ac:dyDescent="0.2">
      <c r="B178" s="144" t="s">
        <v>980</v>
      </c>
      <c r="C178" s="207">
        <v>0</v>
      </c>
      <c r="D178" s="207">
        <f>E178-C178</f>
        <v>1</v>
      </c>
      <c r="E178" s="207">
        <v>1</v>
      </c>
      <c r="F178" s="207">
        <f>G178-E178</f>
        <v>1</v>
      </c>
      <c r="G178" s="207">
        <v>2</v>
      </c>
      <c r="H178" s="207">
        <f>I178-G178</f>
        <v>4</v>
      </c>
      <c r="I178" s="207">
        <v>6</v>
      </c>
      <c r="J178" s="208">
        <v>1</v>
      </c>
      <c r="K178" s="208">
        <f>L178-J178</f>
        <v>2</v>
      </c>
      <c r="L178" s="208">
        <v>3</v>
      </c>
      <c r="M178" s="208">
        <f>N178-L178</f>
        <v>1</v>
      </c>
      <c r="N178" s="208">
        <v>4</v>
      </c>
      <c r="O178" s="208">
        <f>P178-N178</f>
        <v>2</v>
      </c>
      <c r="P178" s="208">
        <v>6</v>
      </c>
      <c r="Q178" s="245"/>
      <c r="R178" s="246"/>
      <c r="S178" s="207">
        <v>2</v>
      </c>
      <c r="T178" s="245"/>
      <c r="U178" s="245"/>
      <c r="V178" s="245"/>
      <c r="W178" s="207">
        <v>7</v>
      </c>
      <c r="X178" s="245"/>
      <c r="Y178" s="245"/>
      <c r="Z178" s="208">
        <v>2</v>
      </c>
      <c r="AA178" s="245"/>
      <c r="AB178" s="245"/>
      <c r="AC178" s="245"/>
      <c r="AD178" s="208">
        <v>2</v>
      </c>
      <c r="AE178" s="245"/>
      <c r="AF178" s="245"/>
      <c r="AG178" s="207">
        <v>0</v>
      </c>
      <c r="AH178" s="245"/>
      <c r="AI178" s="245"/>
      <c r="AJ178" s="245"/>
      <c r="AK178" s="207">
        <v>7</v>
      </c>
      <c r="AL178" s="559"/>
      <c r="AM178" s="559"/>
      <c r="AN178" s="208">
        <v>0</v>
      </c>
      <c r="AO178" s="208"/>
      <c r="AP178" s="208"/>
      <c r="AQ178" s="208"/>
      <c r="AR178" s="559"/>
      <c r="AS178" s="559">
        <v>0</v>
      </c>
      <c r="AT178" s="559"/>
      <c r="AU178" s="148">
        <v>2</v>
      </c>
      <c r="AV178" s="148"/>
      <c r="AW178" s="148"/>
      <c r="AX178" s="148"/>
      <c r="AY178" s="148"/>
    </row>
    <row r="179" spans="2:52" ht="15" thickBot="1" x14ac:dyDescent="0.25">
      <c r="B179" s="170" t="s">
        <v>78</v>
      </c>
      <c r="C179" s="209">
        <v>622</v>
      </c>
      <c r="D179" s="209">
        <f>E179-C179</f>
        <v>0</v>
      </c>
      <c r="E179" s="209">
        <v>622</v>
      </c>
      <c r="F179" s="209">
        <f>G179-E179</f>
        <v>0</v>
      </c>
      <c r="G179" s="209">
        <v>622</v>
      </c>
      <c r="H179" s="209">
        <f>I179-G179</f>
        <v>0</v>
      </c>
      <c r="I179" s="209">
        <v>622</v>
      </c>
      <c r="J179" s="210">
        <v>623</v>
      </c>
      <c r="K179" s="210">
        <f>L179-J179</f>
        <v>1</v>
      </c>
      <c r="L179" s="210">
        <v>624</v>
      </c>
      <c r="M179" s="210">
        <f>N179-L179</f>
        <v>2</v>
      </c>
      <c r="N179" s="210">
        <v>626</v>
      </c>
      <c r="O179" s="233">
        <f>P179-N179</f>
        <v>-5</v>
      </c>
      <c r="P179" s="210">
        <v>621</v>
      </c>
      <c r="Q179" s="247"/>
      <c r="R179" s="248"/>
      <c r="S179" s="209">
        <v>631</v>
      </c>
      <c r="T179" s="247"/>
      <c r="U179" s="247"/>
      <c r="V179" s="247"/>
      <c r="W179" s="209">
        <v>629</v>
      </c>
      <c r="X179" s="247"/>
      <c r="Y179" s="247"/>
      <c r="Z179" s="210">
        <v>631</v>
      </c>
      <c r="AA179" s="247"/>
      <c r="AB179" s="247"/>
      <c r="AC179" s="247"/>
      <c r="AD179" s="210">
        <v>629</v>
      </c>
      <c r="AE179" s="247"/>
      <c r="AF179" s="247"/>
      <c r="AG179" s="209">
        <v>626</v>
      </c>
      <c r="AH179" s="247"/>
      <c r="AI179" s="247"/>
      <c r="AJ179" s="247"/>
      <c r="AK179" s="209">
        <v>632</v>
      </c>
      <c r="AL179" s="557"/>
      <c r="AM179" s="557"/>
      <c r="AN179" s="210">
        <v>626</v>
      </c>
      <c r="AO179" s="210"/>
      <c r="AP179" s="210"/>
      <c r="AQ179" s="210"/>
      <c r="AR179" s="557"/>
      <c r="AS179" s="557"/>
      <c r="AT179" s="557"/>
      <c r="AU179" s="174">
        <v>653</v>
      </c>
      <c r="AV179" s="174"/>
      <c r="AW179" s="174"/>
      <c r="AX179" s="174"/>
      <c r="AY179" s="174"/>
    </row>
    <row r="181" spans="2:52" ht="24.75" customHeight="1" x14ac:dyDescent="0.2">
      <c r="B181" s="598" t="s">
        <v>39</v>
      </c>
      <c r="C181" s="598"/>
      <c r="D181" s="598"/>
      <c r="E181" s="598"/>
      <c r="F181" s="598"/>
      <c r="G181" s="598"/>
      <c r="H181" s="598"/>
      <c r="I181" s="598"/>
      <c r="J181" s="598"/>
      <c r="K181" s="598"/>
      <c r="L181" s="598"/>
      <c r="M181" s="598"/>
      <c r="N181" s="598"/>
      <c r="O181" s="598"/>
      <c r="P181" s="598"/>
      <c r="Q181" s="598"/>
      <c r="R181" s="598"/>
      <c r="S181" s="598"/>
    </row>
    <row r="182" spans="2:52" ht="36" customHeight="1" x14ac:dyDescent="0.2">
      <c r="B182" s="598" t="s">
        <v>886</v>
      </c>
      <c r="C182" s="598"/>
      <c r="D182" s="598"/>
      <c r="E182" s="598"/>
      <c r="F182" s="598"/>
      <c r="G182" s="598"/>
      <c r="H182" s="598"/>
      <c r="I182" s="598"/>
      <c r="J182" s="598"/>
      <c r="K182" s="598"/>
      <c r="L182" s="598"/>
      <c r="M182" s="598"/>
      <c r="N182" s="598"/>
      <c r="O182" s="598"/>
      <c r="P182" s="598"/>
      <c r="Q182" s="598"/>
      <c r="R182" s="598"/>
      <c r="S182" s="598"/>
    </row>
    <row r="183" spans="2:52" x14ac:dyDescent="0.2">
      <c r="B183" s="136" t="s">
        <v>878</v>
      </c>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row>
    <row r="184" spans="2:52" x14ac:dyDescent="0.2">
      <c r="B184" s="517" t="s">
        <v>965</v>
      </c>
    </row>
    <row r="185" spans="2:52" ht="38.25" customHeight="1" x14ac:dyDescent="0.2">
      <c r="B185" s="598" t="s">
        <v>967</v>
      </c>
      <c r="C185" s="598"/>
      <c r="D185" s="598"/>
      <c r="E185" s="598"/>
      <c r="F185" s="598"/>
      <c r="G185" s="598"/>
      <c r="H185" s="598"/>
      <c r="I185" s="598"/>
      <c r="J185" s="598"/>
      <c r="K185" s="598"/>
      <c r="L185" s="598"/>
      <c r="M185" s="598"/>
      <c r="N185" s="598"/>
      <c r="O185" s="598"/>
      <c r="P185" s="598"/>
      <c r="Q185" s="598"/>
      <c r="R185" s="598"/>
      <c r="S185" s="598"/>
    </row>
    <row r="186" spans="2:52" x14ac:dyDescent="0.2">
      <c r="B186" s="517" t="s">
        <v>978</v>
      </c>
    </row>
    <row r="187" spans="2:52" x14ac:dyDescent="0.2">
      <c r="B187" s="517" t="s">
        <v>979</v>
      </c>
    </row>
    <row r="188" spans="2:52" x14ac:dyDescent="0.2">
      <c r="B188" s="517" t="s">
        <v>971</v>
      </c>
    </row>
    <row r="189" spans="2:52" x14ac:dyDescent="0.2">
      <c r="B189" s="109" t="s">
        <v>1036</v>
      </c>
    </row>
    <row r="190" spans="2:52" x14ac:dyDescent="0.2">
      <c r="B190" s="109" t="s">
        <v>972</v>
      </c>
    </row>
    <row r="191" spans="2:52" x14ac:dyDescent="0.2">
      <c r="B191" s="44" t="s">
        <v>1022</v>
      </c>
    </row>
    <row r="192" spans="2:52" x14ac:dyDescent="0.2">
      <c r="B192" s="556" t="s">
        <v>1029</v>
      </c>
    </row>
    <row r="193" spans="2:2" x14ac:dyDescent="0.2">
      <c r="B193" s="570" t="s">
        <v>1032</v>
      </c>
    </row>
  </sheetData>
  <mergeCells count="10">
    <mergeCell ref="B185:S185"/>
    <mergeCell ref="C53:I53"/>
    <mergeCell ref="J53:P53"/>
    <mergeCell ref="Q53:W53"/>
    <mergeCell ref="X53:AD53"/>
    <mergeCell ref="AE53:AK53"/>
    <mergeCell ref="AS53:AY53"/>
    <mergeCell ref="B181:S181"/>
    <mergeCell ref="B182:S182"/>
    <mergeCell ref="B51:S51"/>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5CD30-D8D2-4200-9A2D-C1F96A624B2A}">
  <sheetPr codeName="Foglio12">
    <tabColor rgb="FF7030A0"/>
  </sheetPr>
  <dimension ref="A9:M55"/>
  <sheetViews>
    <sheetView showGridLines="0" topLeftCell="A21" zoomScaleNormal="100" workbookViewId="0">
      <selection activeCell="B56" sqref="B56"/>
    </sheetView>
  </sheetViews>
  <sheetFormatPr defaultColWidth="9.140625" defaultRowHeight="14.25" x14ac:dyDescent="0.2"/>
  <cols>
    <col min="1" max="1" width="5.7109375" style="13" customWidth="1"/>
    <col min="2" max="2" width="57.5703125" style="164" customWidth="1"/>
    <col min="3" max="8" width="12.5703125" style="164" customWidth="1"/>
    <col min="9" max="11" width="9.140625" style="164"/>
    <col min="12" max="12" width="23.140625" style="164" bestFit="1" customWidth="1"/>
    <col min="13" max="14" width="13.7109375" style="164" bestFit="1" customWidth="1"/>
    <col min="15" max="16384" width="9.140625" style="164"/>
  </cols>
  <sheetData>
    <row r="9" spans="2:9" ht="21" thickBot="1" x14ac:dyDescent="0.35">
      <c r="B9" s="162" t="s">
        <v>987</v>
      </c>
      <c r="C9" s="108"/>
      <c r="D9" s="87"/>
      <c r="E9" s="87"/>
      <c r="F9" s="87"/>
      <c r="G9" s="87"/>
      <c r="H9" s="87"/>
    </row>
    <row r="10" spans="2:9" ht="22.5" thickBot="1" x14ac:dyDescent="0.25">
      <c r="B10" s="114" t="s">
        <v>740</v>
      </c>
      <c r="C10" s="163">
        <v>2015</v>
      </c>
      <c r="D10" s="163">
        <v>2016</v>
      </c>
      <c r="E10" s="163" t="s">
        <v>992</v>
      </c>
      <c r="F10" s="163">
        <v>2017</v>
      </c>
      <c r="G10" s="163" t="s">
        <v>752</v>
      </c>
      <c r="H10" s="163">
        <v>2018</v>
      </c>
    </row>
    <row r="11" spans="2:9" x14ac:dyDescent="0.2">
      <c r="B11" s="84"/>
      <c r="C11" s="254"/>
      <c r="D11" s="254"/>
      <c r="E11" s="254"/>
      <c r="F11" s="254"/>
      <c r="G11" s="254"/>
      <c r="H11" s="254"/>
    </row>
    <row r="12" spans="2:9" x14ac:dyDescent="0.2">
      <c r="B12" s="80" t="s">
        <v>617</v>
      </c>
      <c r="C12" s="146">
        <v>5517.3057060000001</v>
      </c>
      <c r="D12" s="146">
        <v>6154.3846610000001</v>
      </c>
      <c r="E12" s="146">
        <v>9105.6301000000003</v>
      </c>
      <c r="F12" s="146">
        <v>7982.0653460000003</v>
      </c>
      <c r="G12" s="146">
        <v>6840.1293990000004</v>
      </c>
      <c r="H12" s="146">
        <v>6958.3257489999996</v>
      </c>
    </row>
    <row r="13" spans="2:9" x14ac:dyDescent="0.2">
      <c r="B13" s="80" t="s">
        <v>21</v>
      </c>
      <c r="C13" s="146">
        <v>757.60801500000002</v>
      </c>
      <c r="D13" s="146">
        <v>120.487139</v>
      </c>
      <c r="E13" s="146">
        <v>130.22156000000001</v>
      </c>
      <c r="F13" s="146">
        <v>105.58150999999999</v>
      </c>
      <c r="G13" s="146">
        <v>105.58150999999999</v>
      </c>
      <c r="H13" s="146">
        <v>66.166062999999994</v>
      </c>
    </row>
    <row r="14" spans="2:9" ht="15" thickBot="1" x14ac:dyDescent="0.25">
      <c r="B14" s="80"/>
      <c r="C14" s="146"/>
      <c r="D14" s="146"/>
      <c r="E14" s="146"/>
      <c r="F14" s="146"/>
      <c r="G14" s="146"/>
      <c r="H14" s="146"/>
    </row>
    <row r="15" spans="2:9" ht="15" thickBot="1" x14ac:dyDescent="0.25">
      <c r="B15" s="81" t="s">
        <v>22</v>
      </c>
      <c r="C15" s="120">
        <f t="shared" ref="C15:H15" si="0">SUM(C12:C13)</f>
        <v>6274.9137209999999</v>
      </c>
      <c r="D15" s="120">
        <f t="shared" si="0"/>
        <v>6274.8717999999999</v>
      </c>
      <c r="E15" s="120">
        <f t="shared" si="0"/>
        <v>9235.8516600000003</v>
      </c>
      <c r="F15" s="120">
        <f t="shared" si="0"/>
        <v>8087.6468560000003</v>
      </c>
      <c r="G15" s="120">
        <f t="shared" si="0"/>
        <v>6945.7109090000004</v>
      </c>
      <c r="H15" s="120">
        <f t="shared" si="0"/>
        <v>7024.4918119999993</v>
      </c>
      <c r="I15" s="255"/>
    </row>
    <row r="16" spans="2:9" x14ac:dyDescent="0.2">
      <c r="B16" s="84"/>
      <c r="C16" s="121"/>
      <c r="D16" s="121"/>
      <c r="E16" s="121"/>
      <c r="F16" s="121"/>
      <c r="G16" s="121"/>
      <c r="H16" s="121"/>
      <c r="I16" s="255"/>
    </row>
    <row r="17" spans="2:8" x14ac:dyDescent="0.2">
      <c r="B17" s="80" t="s">
        <v>23</v>
      </c>
      <c r="C17" s="150">
        <f>-5474.168327+7.065</f>
        <v>-5467.1033270000007</v>
      </c>
      <c r="D17" s="150">
        <f>-6107.770881+0.803</f>
        <v>-6106.9678810000005</v>
      </c>
      <c r="E17" s="150">
        <f>-8883.47382+0.917</f>
        <v>-8882.5568199999998</v>
      </c>
      <c r="F17" s="150">
        <f>-7641.45686+11.369597</f>
        <v>-7630.0872630000003</v>
      </c>
      <c r="G17" s="150">
        <v>-6488.1513160000004</v>
      </c>
      <c r="H17" s="150">
        <v>-6738.9242469999999</v>
      </c>
    </row>
    <row r="18" spans="2:8" x14ac:dyDescent="0.2">
      <c r="B18" s="80" t="s">
        <v>618</v>
      </c>
      <c r="C18" s="150">
        <v>-138.70156900000001</v>
      </c>
      <c r="D18" s="150">
        <v>-139.69972200000001</v>
      </c>
      <c r="E18" s="150">
        <v>-145.89497499999999</v>
      </c>
      <c r="F18" s="150">
        <v>-138.91574600000001</v>
      </c>
      <c r="G18" s="150">
        <v>-138.91574600000001</v>
      </c>
      <c r="H18" s="150">
        <v>-130.40977000000001</v>
      </c>
    </row>
    <row r="19" spans="2:8" x14ac:dyDescent="0.2">
      <c r="B19" s="80" t="s">
        <v>848</v>
      </c>
      <c r="C19" s="150">
        <v>-7.0650000000000004</v>
      </c>
      <c r="D19" s="150">
        <v>-0.80300000000000005</v>
      </c>
      <c r="E19" s="150">
        <v>-0.91700000000000004</v>
      </c>
      <c r="F19" s="150">
        <v>-11.369597000000001</v>
      </c>
      <c r="G19" s="150">
        <v>-11.369597000000001</v>
      </c>
      <c r="H19" s="146">
        <v>3.6594159999999998</v>
      </c>
    </row>
    <row r="20" spans="2:8" ht="15" thickBot="1" x14ac:dyDescent="0.25">
      <c r="B20" s="80"/>
      <c r="C20" s="146"/>
      <c r="D20" s="146"/>
      <c r="E20" s="146"/>
      <c r="F20" s="146"/>
      <c r="G20" s="146"/>
      <c r="H20" s="146"/>
    </row>
    <row r="21" spans="2:8" ht="15" thickBot="1" x14ac:dyDescent="0.25">
      <c r="B21" s="81" t="s">
        <v>1</v>
      </c>
      <c r="C21" s="120">
        <f t="shared" ref="C21:H21" si="1">SUM(C15:C19)</f>
        <v>662.04382499999906</v>
      </c>
      <c r="D21" s="120">
        <f t="shared" si="1"/>
        <v>27.401196999999396</v>
      </c>
      <c r="E21" s="120">
        <f t="shared" si="1"/>
        <v>206.48286500000049</v>
      </c>
      <c r="F21" s="120">
        <f t="shared" si="1"/>
        <v>307.27424999999994</v>
      </c>
      <c r="G21" s="120">
        <f t="shared" si="1"/>
        <v>307.27424999999994</v>
      </c>
      <c r="H21" s="120">
        <f t="shared" si="1"/>
        <v>158.81721099999936</v>
      </c>
    </row>
    <row r="22" spans="2:8" x14ac:dyDescent="0.2">
      <c r="B22" s="84"/>
      <c r="C22" s="121"/>
      <c r="D22" s="121"/>
      <c r="E22" s="121"/>
      <c r="F22" s="121"/>
      <c r="G22" s="121"/>
      <c r="H22" s="121"/>
    </row>
    <row r="23" spans="2:8" x14ac:dyDescent="0.2">
      <c r="B23" s="80" t="s">
        <v>619</v>
      </c>
      <c r="C23" s="146">
        <v>88.659330999999995</v>
      </c>
      <c r="D23" s="150">
        <v>-87.555745999999999</v>
      </c>
      <c r="E23" s="150">
        <v>-67.521356999999995</v>
      </c>
      <c r="F23" s="150">
        <v>-202.22055900000001</v>
      </c>
      <c r="G23" s="150">
        <v>-202.22055900000001</v>
      </c>
      <c r="H23" s="150">
        <v>-7.7244260000000002</v>
      </c>
    </row>
    <row r="24" spans="2:8" x14ac:dyDescent="0.2">
      <c r="B24" s="80" t="s">
        <v>620</v>
      </c>
      <c r="C24" s="150">
        <v>-246.44800000000001</v>
      </c>
      <c r="D24" s="150">
        <v>-181.83199999999999</v>
      </c>
      <c r="E24" s="150">
        <v>-181.85</v>
      </c>
      <c r="F24" s="150">
        <v>-153.064021</v>
      </c>
      <c r="G24" s="150">
        <v>-153.064021</v>
      </c>
      <c r="H24" s="150">
        <v>-121.44967</v>
      </c>
    </row>
    <row r="25" spans="2:8" x14ac:dyDescent="0.2">
      <c r="B25" s="80" t="s">
        <v>849</v>
      </c>
      <c r="C25" s="150">
        <v>-1016.813</v>
      </c>
      <c r="D25" s="150">
        <v>-183.154</v>
      </c>
      <c r="E25" s="150">
        <v>-183.154</v>
      </c>
      <c r="F25" s="150">
        <v>-77.452582000000007</v>
      </c>
      <c r="G25" s="150">
        <v>-77.452582000000007</v>
      </c>
      <c r="H25" s="146">
        <v>0</v>
      </c>
    </row>
    <row r="26" spans="2:8" x14ac:dyDescent="0.2">
      <c r="B26" s="80" t="s">
        <v>43</v>
      </c>
      <c r="C26" s="150">
        <v>-22.042878000000002</v>
      </c>
      <c r="D26" s="150">
        <v>-12.96116</v>
      </c>
      <c r="E26" s="150">
        <v>-12.96116</v>
      </c>
      <c r="F26" s="146">
        <v>131.80012500000001</v>
      </c>
      <c r="G26" s="146">
        <v>131.80012500000001</v>
      </c>
      <c r="H26" s="150">
        <v>0</v>
      </c>
    </row>
    <row r="27" spans="2:8" x14ac:dyDescent="0.2">
      <c r="B27" s="45" t="s">
        <v>993</v>
      </c>
      <c r="C27" s="181"/>
      <c r="D27" s="181"/>
      <c r="E27" s="181"/>
      <c r="F27" s="150">
        <v>-31.964345999999999</v>
      </c>
      <c r="G27" s="150">
        <v>-31.964345999999999</v>
      </c>
      <c r="H27" s="150">
        <v>-22.624829999999999</v>
      </c>
    </row>
    <row r="28" spans="2:8" ht="15" thickBot="1" x14ac:dyDescent="0.25">
      <c r="B28" s="80"/>
      <c r="C28" s="146"/>
      <c r="D28" s="146"/>
      <c r="E28" s="146"/>
      <c r="F28" s="146"/>
      <c r="G28" s="146"/>
      <c r="H28" s="146"/>
    </row>
    <row r="29" spans="2:8" ht="15" thickBot="1" x14ac:dyDescent="0.25">
      <c r="B29" s="81" t="s">
        <v>500</v>
      </c>
      <c r="C29" s="152">
        <f>SUM(C21:C26)</f>
        <v>-534.60072200000093</v>
      </c>
      <c r="D29" s="152">
        <f>SUM(D21:D26)</f>
        <v>-438.1017090000006</v>
      </c>
      <c r="E29" s="152">
        <f>SUM(E21:E26)</f>
        <v>-239.00365199999951</v>
      </c>
      <c r="F29" s="152">
        <f>SUM(F21:F27)</f>
        <v>-25.627133000000065</v>
      </c>
      <c r="G29" s="152">
        <f>SUM(G21:G27)</f>
        <v>-25.627133000000065</v>
      </c>
      <c r="H29" s="120">
        <f>SUM(H21:H27)</f>
        <v>7.0182849999993699</v>
      </c>
    </row>
    <row r="30" spans="2:8" x14ac:dyDescent="0.2">
      <c r="B30" s="84"/>
      <c r="C30" s="121"/>
      <c r="D30" s="121"/>
      <c r="E30" s="121"/>
      <c r="F30" s="121"/>
      <c r="G30" s="121"/>
      <c r="H30" s="121"/>
    </row>
    <row r="31" spans="2:8" x14ac:dyDescent="0.2">
      <c r="B31" s="80" t="s">
        <v>715</v>
      </c>
      <c r="C31" s="181"/>
      <c r="D31" s="181"/>
      <c r="E31" s="181"/>
      <c r="F31" s="146">
        <v>23.677648000000001</v>
      </c>
      <c r="G31" s="146">
        <v>23.677648000000001</v>
      </c>
      <c r="H31" s="146">
        <v>19.989432999999998</v>
      </c>
    </row>
    <row r="32" spans="2:8" x14ac:dyDescent="0.2">
      <c r="B32" s="80" t="s">
        <v>716</v>
      </c>
      <c r="C32" s="181"/>
      <c r="D32" s="181"/>
      <c r="E32" s="181"/>
      <c r="F32" s="150">
        <v>-2.5602819999999999</v>
      </c>
      <c r="G32" s="150">
        <v>-2.5602819999999999</v>
      </c>
      <c r="H32" s="150">
        <v>-1.3746430000000001</v>
      </c>
    </row>
    <row r="33" spans="2:8" x14ac:dyDescent="0.2">
      <c r="B33" s="80" t="s">
        <v>850</v>
      </c>
      <c r="C33" s="181"/>
      <c r="D33" s="181"/>
      <c r="E33" s="181"/>
      <c r="F33" s="150">
        <v>-22.464808000000001</v>
      </c>
      <c r="G33" s="150">
        <v>-22.464808000000001</v>
      </c>
      <c r="H33" s="150">
        <v>-15.451473999999999</v>
      </c>
    </row>
    <row r="34" spans="2:8" x14ac:dyDescent="0.2">
      <c r="B34" s="80" t="s">
        <v>717</v>
      </c>
      <c r="C34" s="181"/>
      <c r="D34" s="181"/>
      <c r="E34" s="181"/>
      <c r="F34" s="150">
        <v>-14.588309000000001</v>
      </c>
      <c r="G34" s="150">
        <v>-14.588309000000001</v>
      </c>
      <c r="H34" s="146">
        <v>2.4516680000000002</v>
      </c>
    </row>
    <row r="35" spans="2:8" x14ac:dyDescent="0.2">
      <c r="B35" s="80" t="s">
        <v>985</v>
      </c>
      <c r="C35" s="146">
        <v>7.7079360000009274</v>
      </c>
      <c r="D35" s="150">
        <v>-16.169215999999381</v>
      </c>
      <c r="E35" s="150">
        <v>-19.668682</v>
      </c>
      <c r="F35" s="181"/>
      <c r="G35" s="181"/>
      <c r="H35" s="181"/>
    </row>
    <row r="36" spans="2:8" x14ac:dyDescent="0.2">
      <c r="B36" s="80" t="s">
        <v>851</v>
      </c>
      <c r="C36" s="150">
        <f>-406.411-0.744-0.003</f>
        <v>-407.15800000000002</v>
      </c>
      <c r="D36" s="150">
        <f>-135.108+0.018</f>
        <v>-135.09</v>
      </c>
      <c r="E36" s="146">
        <f>0.018-135.108</f>
        <v>-135.09</v>
      </c>
      <c r="F36" s="150">
        <v>-138.43030899999999</v>
      </c>
      <c r="G36" s="150">
        <v>-138.43030899999999</v>
      </c>
      <c r="H36" s="150">
        <v>-45.416446999999998</v>
      </c>
    </row>
    <row r="37" spans="2:8" x14ac:dyDescent="0.2">
      <c r="B37" s="80" t="s">
        <v>707</v>
      </c>
      <c r="C37" s="146">
        <f>218.751+0.373</f>
        <v>219.124</v>
      </c>
      <c r="D37" s="146">
        <f>209.034+2.526</f>
        <v>211.56</v>
      </c>
      <c r="E37" s="146">
        <f>59.034+2.526</f>
        <v>61.56</v>
      </c>
      <c r="F37" s="146">
        <v>37.751365</v>
      </c>
      <c r="G37" s="146">
        <v>37.751365</v>
      </c>
      <c r="H37" s="146">
        <v>90.266345000000001</v>
      </c>
    </row>
    <row r="38" spans="2:8" x14ac:dyDescent="0.2">
      <c r="B38" s="80" t="s">
        <v>718</v>
      </c>
      <c r="C38" s="146">
        <f>0+0.09</f>
        <v>0.09</v>
      </c>
      <c r="D38" s="146">
        <f>-1.719+56.905</f>
        <v>55.186</v>
      </c>
      <c r="E38" s="146">
        <f>56.905-1.719</f>
        <v>55.186</v>
      </c>
      <c r="F38" s="150">
        <v>-22.528608999999999</v>
      </c>
      <c r="G38" s="150">
        <v>-22.528608999999999</v>
      </c>
      <c r="H38" s="146">
        <v>0.360931</v>
      </c>
    </row>
    <row r="39" spans="2:8" ht="15" thickBot="1" x14ac:dyDescent="0.25">
      <c r="B39" s="80"/>
      <c r="C39" s="146"/>
      <c r="D39" s="146"/>
      <c r="E39" s="146"/>
      <c r="F39" s="146"/>
      <c r="G39" s="146"/>
      <c r="H39" s="146"/>
    </row>
    <row r="40" spans="2:8" ht="15" thickBot="1" x14ac:dyDescent="0.25">
      <c r="B40" s="81" t="s">
        <v>719</v>
      </c>
      <c r="C40" s="152">
        <f t="shared" ref="C40:H40" si="2">SUM(C29:C38)</f>
        <v>-714.83678599999996</v>
      </c>
      <c r="D40" s="152">
        <f t="shared" si="2"/>
        <v>-322.61492499999997</v>
      </c>
      <c r="E40" s="152">
        <f t="shared" si="2"/>
        <v>-277.01633399999957</v>
      </c>
      <c r="F40" s="152">
        <f t="shared" si="2"/>
        <v>-164.77043700000007</v>
      </c>
      <c r="G40" s="152">
        <f t="shared" si="2"/>
        <v>-164.77043700000007</v>
      </c>
      <c r="H40" s="120">
        <f t="shared" si="2"/>
        <v>57.84409799999937</v>
      </c>
    </row>
    <row r="41" spans="2:8" x14ac:dyDescent="0.2">
      <c r="B41" s="84"/>
      <c r="C41" s="121"/>
      <c r="D41" s="121"/>
      <c r="E41" s="121"/>
      <c r="F41" s="121"/>
      <c r="G41" s="121"/>
      <c r="H41" s="121"/>
    </row>
    <row r="42" spans="2:8" x14ac:dyDescent="0.2">
      <c r="B42" s="80" t="s">
        <v>32</v>
      </c>
      <c r="C42" s="150">
        <v>-61.177114000000003</v>
      </c>
      <c r="D42" s="146">
        <v>72.672200000000004</v>
      </c>
      <c r="E42" s="146">
        <v>13.544537999999999</v>
      </c>
      <c r="F42" s="150">
        <v>-19.471874</v>
      </c>
      <c r="G42" s="150">
        <v>-19.471874</v>
      </c>
      <c r="H42" s="150">
        <v>-2.685019</v>
      </c>
    </row>
    <row r="43" spans="2:8" ht="15" thickBot="1" x14ac:dyDescent="0.25">
      <c r="B43" s="80"/>
      <c r="C43" s="146"/>
      <c r="D43" s="146"/>
      <c r="E43" s="146"/>
      <c r="F43" s="146"/>
      <c r="G43" s="146"/>
      <c r="H43" s="146"/>
    </row>
    <row r="44" spans="2:8" ht="15" thickBot="1" x14ac:dyDescent="0.25">
      <c r="B44" s="81" t="s">
        <v>720</v>
      </c>
      <c r="C44" s="152">
        <f t="shared" ref="C44:H44" si="3">SUM(C40:C42)</f>
        <v>-776.01389999999992</v>
      </c>
      <c r="D44" s="152">
        <f t="shared" si="3"/>
        <v>-249.94272499999997</v>
      </c>
      <c r="E44" s="152">
        <f t="shared" si="3"/>
        <v>-263.47179599999959</v>
      </c>
      <c r="F44" s="152">
        <f t="shared" si="3"/>
        <v>-184.24231100000009</v>
      </c>
      <c r="G44" s="152">
        <f t="shared" si="3"/>
        <v>-184.24231100000009</v>
      </c>
      <c r="H44" s="120">
        <f t="shared" si="3"/>
        <v>55.159078999999373</v>
      </c>
    </row>
    <row r="45" spans="2:8" x14ac:dyDescent="0.2">
      <c r="B45" s="84"/>
      <c r="C45" s="121"/>
      <c r="D45" s="121"/>
      <c r="E45" s="121"/>
      <c r="F45" s="121"/>
      <c r="G45" s="121"/>
      <c r="H45" s="121"/>
    </row>
    <row r="46" spans="2:8" x14ac:dyDescent="0.2">
      <c r="B46" s="80" t="s">
        <v>721</v>
      </c>
      <c r="C46" s="146">
        <v>0</v>
      </c>
      <c r="D46" s="146">
        <v>0</v>
      </c>
      <c r="E46" s="146"/>
      <c r="F46" s="146">
        <v>0</v>
      </c>
      <c r="G46" s="146">
        <v>0</v>
      </c>
      <c r="H46" s="146">
        <v>0</v>
      </c>
    </row>
    <row r="47" spans="2:8" ht="15" thickBot="1" x14ac:dyDescent="0.25">
      <c r="B47" s="80"/>
      <c r="C47" s="146"/>
      <c r="D47" s="146"/>
      <c r="E47" s="146"/>
      <c r="F47" s="146"/>
      <c r="G47" s="146"/>
      <c r="H47" s="146"/>
    </row>
    <row r="48" spans="2:8" ht="15" thickBot="1" x14ac:dyDescent="0.25">
      <c r="B48" s="81" t="s">
        <v>722</v>
      </c>
      <c r="C48" s="152">
        <f t="shared" ref="C48:H48" si="4">SUM(C44:C46)</f>
        <v>-776.01389999999992</v>
      </c>
      <c r="D48" s="152">
        <f t="shared" si="4"/>
        <v>-249.94272499999997</v>
      </c>
      <c r="E48" s="152">
        <f t="shared" si="4"/>
        <v>-263.47179599999959</v>
      </c>
      <c r="F48" s="152">
        <f t="shared" si="4"/>
        <v>-184.24231100000009</v>
      </c>
      <c r="G48" s="152">
        <f t="shared" si="4"/>
        <v>-184.24231100000009</v>
      </c>
      <c r="H48" s="120">
        <f t="shared" si="4"/>
        <v>55.159078999999373</v>
      </c>
    </row>
    <row r="49" spans="2:13" x14ac:dyDescent="0.2">
      <c r="H49" s="256"/>
    </row>
    <row r="50" spans="2:13" ht="23.25" customHeight="1" x14ac:dyDescent="0.2">
      <c r="B50" s="599" t="s">
        <v>986</v>
      </c>
      <c r="C50" s="599"/>
      <c r="D50" s="599"/>
      <c r="E50" s="599"/>
      <c r="F50" s="599"/>
      <c r="G50" s="599"/>
      <c r="H50" s="599"/>
      <c r="I50" s="599"/>
      <c r="J50" s="599"/>
      <c r="K50" s="599"/>
      <c r="L50" s="599"/>
    </row>
    <row r="51" spans="2:13" ht="23.25" customHeight="1" x14ac:dyDescent="0.2">
      <c r="B51" s="598" t="s">
        <v>995</v>
      </c>
      <c r="C51" s="598"/>
      <c r="D51" s="598"/>
      <c r="E51" s="598"/>
      <c r="F51" s="598"/>
      <c r="G51" s="598"/>
      <c r="H51" s="598"/>
      <c r="I51" s="598"/>
      <c r="J51" s="598"/>
      <c r="K51" s="598"/>
      <c r="L51" s="598"/>
    </row>
    <row r="52" spans="2:13" ht="26.1" customHeight="1" x14ac:dyDescent="0.2">
      <c r="B52" s="598" t="s">
        <v>631</v>
      </c>
      <c r="C52" s="598"/>
      <c r="D52" s="598"/>
      <c r="E52" s="598"/>
      <c r="F52" s="598"/>
      <c r="G52" s="598"/>
      <c r="H52" s="598"/>
      <c r="I52" s="598"/>
      <c r="J52" s="598"/>
      <c r="K52" s="598"/>
      <c r="L52" s="598"/>
    </row>
    <row r="53" spans="2:13" ht="27.75" customHeight="1" x14ac:dyDescent="0.2">
      <c r="B53" s="601" t="s">
        <v>994</v>
      </c>
      <c r="C53" s="601"/>
      <c r="D53" s="601"/>
      <c r="E53" s="601"/>
      <c r="F53" s="601"/>
      <c r="G53" s="601"/>
      <c r="H53" s="601"/>
      <c r="I53" s="601"/>
      <c r="J53" s="601"/>
      <c r="K53" s="601"/>
      <c r="L53" s="601"/>
      <c r="M53" s="534"/>
    </row>
    <row r="55" spans="2:13" ht="16.5" customHeight="1" x14ac:dyDescent="0.2"/>
  </sheetData>
  <mergeCells count="4">
    <mergeCell ref="B52:L52"/>
    <mergeCell ref="B50:L50"/>
    <mergeCell ref="B53:L53"/>
    <mergeCell ref="B51:L51"/>
  </mergeCells>
  <pageMargins left="0.7" right="0.7" top="0.75" bottom="0.75" header="0.3" footer="0.3"/>
  <pageSetup paperSize="9" scale="4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706EE-9FAF-4082-8E0A-F34F2E10A248}">
  <sheetPr>
    <tabColor rgb="FF7030A0"/>
  </sheetPr>
  <dimension ref="A5:M79"/>
  <sheetViews>
    <sheetView showGridLines="0" topLeftCell="A7" zoomScaleNormal="100" workbookViewId="0">
      <selection activeCell="C44" sqref="C44"/>
    </sheetView>
  </sheetViews>
  <sheetFormatPr defaultColWidth="9.140625" defaultRowHeight="14.25" x14ac:dyDescent="0.2"/>
  <cols>
    <col min="1" max="1" width="5.7109375" style="13" customWidth="1"/>
    <col min="2" max="2" width="66.85546875" style="50" customWidth="1"/>
    <col min="3" max="8" width="10.42578125" style="50" customWidth="1"/>
    <col min="9" max="16384" width="9.140625" style="50"/>
  </cols>
  <sheetData>
    <row r="5" spans="1:11" x14ac:dyDescent="0.2">
      <c r="B5" s="44"/>
    </row>
    <row r="9" spans="1:11" ht="21" thickBot="1" x14ac:dyDescent="0.35">
      <c r="B9" s="162" t="s">
        <v>75</v>
      </c>
      <c r="C9" s="108"/>
      <c r="D9" s="87"/>
      <c r="E9" s="87"/>
      <c r="F9" s="87"/>
      <c r="G9" s="87"/>
      <c r="H9" s="87"/>
    </row>
    <row r="10" spans="1:11" ht="22.5" thickBot="1" x14ac:dyDescent="0.25">
      <c r="B10" s="114" t="s">
        <v>740</v>
      </c>
      <c r="C10" s="163">
        <v>2015</v>
      </c>
      <c r="D10" s="163">
        <v>2016</v>
      </c>
      <c r="E10" s="163" t="s">
        <v>996</v>
      </c>
      <c r="F10" s="163">
        <v>2017</v>
      </c>
      <c r="G10" s="163" t="s">
        <v>752</v>
      </c>
      <c r="H10" s="163">
        <v>2018</v>
      </c>
    </row>
    <row r="11" spans="1:11" s="53" customFormat="1" x14ac:dyDescent="0.2">
      <c r="A11" s="13"/>
      <c r="B11" s="258"/>
      <c r="C11" s="259"/>
      <c r="D11" s="259"/>
      <c r="E11" s="259"/>
      <c r="F11" s="259"/>
      <c r="G11" s="259"/>
      <c r="H11" s="259"/>
    </row>
    <row r="12" spans="1:11" ht="15" x14ac:dyDescent="0.25">
      <c r="B12" s="231" t="s">
        <v>501</v>
      </c>
      <c r="C12" s="12"/>
      <c r="D12" s="12"/>
      <c r="E12" s="12"/>
      <c r="F12" s="12"/>
      <c r="G12" s="12"/>
      <c r="H12" s="12"/>
    </row>
    <row r="13" spans="1:11" x14ac:dyDescent="0.2">
      <c r="B13" s="45"/>
      <c r="C13" s="45"/>
      <c r="D13" s="45"/>
      <c r="E13" s="45"/>
      <c r="F13" s="45"/>
      <c r="G13" s="45"/>
      <c r="H13" s="45"/>
    </row>
    <row r="14" spans="1:11" x14ac:dyDescent="0.2">
      <c r="B14" s="45" t="s">
        <v>808</v>
      </c>
      <c r="C14" s="154">
        <v>1959.595262</v>
      </c>
      <c r="D14" s="154">
        <v>1726.4580599999999</v>
      </c>
      <c r="E14" s="154">
        <v>1726.46092</v>
      </c>
      <c r="F14" s="154">
        <v>1515.9584</v>
      </c>
      <c r="G14" s="154">
        <v>1521.084339</v>
      </c>
      <c r="H14" s="154">
        <v>1200.827853</v>
      </c>
      <c r="K14" s="45"/>
    </row>
    <row r="15" spans="1:11" x14ac:dyDescent="0.2">
      <c r="B15" s="45" t="s">
        <v>988</v>
      </c>
      <c r="C15" s="154">
        <f>55.075643+78.565357</f>
        <v>133.64100000000002</v>
      </c>
      <c r="D15" s="154">
        <f>25.797411+71.841512</f>
        <v>97.638922999999991</v>
      </c>
      <c r="E15" s="154">
        <f>25.797411+71.874632</f>
        <v>97.672043000000002</v>
      </c>
      <c r="F15" s="154">
        <f>16.548345+64.833663</f>
        <v>81.382007999999999</v>
      </c>
      <c r="G15" s="154">
        <v>81.382007999999999</v>
      </c>
      <c r="H15" s="154">
        <v>71.680953000000002</v>
      </c>
      <c r="K15" s="45"/>
    </row>
    <row r="16" spans="1:11" x14ac:dyDescent="0.2">
      <c r="B16" s="45" t="s">
        <v>809</v>
      </c>
      <c r="C16" s="154">
        <v>1751.840046</v>
      </c>
      <c r="D16" s="154">
        <v>1751.840046</v>
      </c>
      <c r="E16" s="154">
        <v>1751.840046</v>
      </c>
      <c r="F16" s="154">
        <v>1706.6900459999999</v>
      </c>
      <c r="G16" s="154">
        <v>1706.6900459999999</v>
      </c>
      <c r="H16" s="154">
        <v>1706.6900459999999</v>
      </c>
      <c r="K16" s="45"/>
    </row>
    <row r="17" spans="2:11" x14ac:dyDescent="0.2">
      <c r="B17" s="45" t="s">
        <v>584</v>
      </c>
      <c r="C17" s="154">
        <f>933.873984+166.880726</f>
        <v>1100.7547099999999</v>
      </c>
      <c r="D17" s="154">
        <f>1224.74691+157.887075</f>
        <v>1382.6339850000002</v>
      </c>
      <c r="E17" s="154">
        <f>1194.74691+157.887075</f>
        <v>1352.6339850000002</v>
      </c>
      <c r="F17" s="154">
        <f>1032.128609+0.78694</f>
        <v>1032.9155490000001</v>
      </c>
      <c r="G17" s="154">
        <v>1032.1286090000001</v>
      </c>
      <c r="H17" s="154">
        <v>2093.2298059999998</v>
      </c>
      <c r="K17" s="45"/>
    </row>
    <row r="18" spans="2:11" x14ac:dyDescent="0.2">
      <c r="B18" s="45" t="s">
        <v>990</v>
      </c>
      <c r="C18" s="181"/>
      <c r="D18" s="181"/>
      <c r="E18" s="181"/>
      <c r="F18" s="154">
        <v>385.539242</v>
      </c>
      <c r="G18" s="154">
        <v>385.539242</v>
      </c>
      <c r="H18" s="154">
        <v>574.33797000000004</v>
      </c>
      <c r="K18" s="45"/>
    </row>
    <row r="19" spans="2:11" x14ac:dyDescent="0.2">
      <c r="B19" s="45" t="s">
        <v>989</v>
      </c>
      <c r="C19" s="181"/>
      <c r="D19" s="181"/>
      <c r="E19" s="181"/>
      <c r="F19" s="154">
        <v>143.984578</v>
      </c>
      <c r="G19" s="154">
        <v>143.984578</v>
      </c>
      <c r="H19" s="154">
        <v>173.572384</v>
      </c>
      <c r="K19" s="45"/>
    </row>
    <row r="20" spans="2:11" x14ac:dyDescent="0.2">
      <c r="B20" s="45" t="s">
        <v>810</v>
      </c>
      <c r="C20" s="154">
        <f>5.607819+11.45139+437.224987+251.639248</f>
        <v>705.92344400000002</v>
      </c>
      <c r="D20" s="154">
        <f>5.21112+11.451377+250.598291+286.202785</f>
        <v>553.463573</v>
      </c>
      <c r="E20" s="154">
        <f>5.21112+11.451377+252.800028+297.918589</f>
        <v>567.38111400000003</v>
      </c>
      <c r="F20" s="154">
        <f>5.125939+11.451377+249.293566+288.202983-143.984578</f>
        <v>410.08928700000007</v>
      </c>
      <c r="G20" s="154">
        <f>4.269672+11.451377+251.168076+24.225989+119.992416</f>
        <v>411.10753000000005</v>
      </c>
      <c r="H20" s="154">
        <f>0.942747+14.156177+84.644941+24.618681+115.817878</f>
        <v>240.18042399999999</v>
      </c>
      <c r="K20" s="45"/>
    </row>
    <row r="21" spans="2:11" ht="15" thickBot="1" x14ac:dyDescent="0.25">
      <c r="B21" s="45"/>
      <c r="C21" s="154"/>
      <c r="D21" s="154"/>
      <c r="E21" s="154"/>
      <c r="F21" s="154"/>
      <c r="G21" s="154"/>
      <c r="H21" s="154"/>
      <c r="K21" s="45"/>
    </row>
    <row r="22" spans="2:11" ht="15" thickBot="1" x14ac:dyDescent="0.25">
      <c r="B22" s="64" t="s">
        <v>811</v>
      </c>
      <c r="C22" s="153">
        <f t="shared" ref="C22:H22" si="0">SUM(C14:C21)</f>
        <v>5651.7544619999999</v>
      </c>
      <c r="D22" s="153">
        <f t="shared" si="0"/>
        <v>5512.0345870000001</v>
      </c>
      <c r="E22" s="153">
        <f t="shared" si="0"/>
        <v>5495.9881080000005</v>
      </c>
      <c r="F22" s="153">
        <f t="shared" si="0"/>
        <v>5276.5591099999992</v>
      </c>
      <c r="G22" s="153">
        <f t="shared" si="0"/>
        <v>5281.9163520000002</v>
      </c>
      <c r="H22" s="153">
        <f t="shared" si="0"/>
        <v>6060.5194359999996</v>
      </c>
      <c r="K22" s="45"/>
    </row>
    <row r="23" spans="2:11" x14ac:dyDescent="0.2">
      <c r="B23" s="191"/>
      <c r="C23" s="261"/>
      <c r="D23" s="261"/>
      <c r="E23" s="261"/>
      <c r="F23" s="261"/>
      <c r="G23" s="261"/>
      <c r="H23" s="261"/>
      <c r="K23" s="45"/>
    </row>
    <row r="24" spans="2:11" x14ac:dyDescent="0.2">
      <c r="B24" s="45" t="s">
        <v>581</v>
      </c>
      <c r="C24" s="154">
        <v>106.330856</v>
      </c>
      <c r="D24" s="154">
        <v>87.706140000000005</v>
      </c>
      <c r="E24" s="154">
        <v>90.95881</v>
      </c>
      <c r="F24" s="154">
        <v>105.110382</v>
      </c>
      <c r="G24" s="154">
        <v>105.110382</v>
      </c>
      <c r="H24" s="154">
        <v>117.09844200000001</v>
      </c>
    </row>
    <row r="25" spans="2:11" x14ac:dyDescent="0.2">
      <c r="B25" s="45" t="s">
        <v>812</v>
      </c>
      <c r="C25" s="154">
        <v>1558.2128620000001</v>
      </c>
      <c r="D25" s="154">
        <v>1020.0385690000001</v>
      </c>
      <c r="E25" s="154">
        <v>1296.2772150000001</v>
      </c>
      <c r="F25" s="154">
        <v>937.66682300000002</v>
      </c>
      <c r="G25" s="154">
        <v>931.28519700000004</v>
      </c>
      <c r="H25" s="154">
        <v>823.84854099999995</v>
      </c>
    </row>
    <row r="26" spans="2:11" x14ac:dyDescent="0.2">
      <c r="B26" s="45" t="s">
        <v>813</v>
      </c>
      <c r="C26" s="154">
        <v>1.359035</v>
      </c>
      <c r="D26" s="154">
        <v>0.77606299999999995</v>
      </c>
      <c r="E26" s="154">
        <v>0.87606300000000004</v>
      </c>
      <c r="F26" s="154">
        <v>0.118912</v>
      </c>
      <c r="G26" s="154">
        <v>0.118912</v>
      </c>
      <c r="H26" s="154">
        <v>18.174538999999999</v>
      </c>
      <c r="K26" s="45"/>
    </row>
    <row r="27" spans="2:11" x14ac:dyDescent="0.2">
      <c r="B27" s="45" t="s">
        <v>998</v>
      </c>
      <c r="C27" s="154">
        <v>1686.0014060000001</v>
      </c>
      <c r="D27" s="154">
        <v>1867.809649</v>
      </c>
      <c r="E27" s="154">
        <v>1131.7686739999999</v>
      </c>
      <c r="F27" s="154">
        <f>1703.953205-385.539242</f>
        <v>1318.413963</v>
      </c>
      <c r="G27" s="154">
        <f>1313.501231+0</f>
        <v>1313.501231</v>
      </c>
      <c r="H27" s="154">
        <f>389.965661+0</f>
        <v>389.96566100000001</v>
      </c>
      <c r="K27" s="45"/>
    </row>
    <row r="28" spans="2:11" x14ac:dyDescent="0.2">
      <c r="B28" s="45" t="s">
        <v>588</v>
      </c>
      <c r="C28" s="154">
        <v>47.277427000000003</v>
      </c>
      <c r="D28" s="154">
        <v>24.316227999999999</v>
      </c>
      <c r="E28" s="154">
        <v>111.671224</v>
      </c>
      <c r="F28" s="154">
        <v>166.05784</v>
      </c>
      <c r="G28" s="154">
        <v>166.05784</v>
      </c>
      <c r="H28" s="154">
        <v>45.03134</v>
      </c>
      <c r="K28" s="45"/>
    </row>
    <row r="29" spans="2:11" x14ac:dyDescent="0.2">
      <c r="B29" s="45" t="s">
        <v>991</v>
      </c>
      <c r="C29" s="181"/>
      <c r="D29" s="181"/>
      <c r="E29" s="181"/>
      <c r="F29" s="154">
        <v>315.36482699999999</v>
      </c>
      <c r="G29" s="154">
        <v>315.36482699999999</v>
      </c>
      <c r="H29" s="154">
        <v>538.50171999999998</v>
      </c>
      <c r="K29" s="45"/>
    </row>
    <row r="30" spans="2:11" x14ac:dyDescent="0.2">
      <c r="B30" s="45" t="s">
        <v>814</v>
      </c>
      <c r="C30" s="154">
        <v>1290.3647430000001</v>
      </c>
      <c r="D30" s="154">
        <v>868.518192</v>
      </c>
      <c r="E30" s="154">
        <v>1794.795646</v>
      </c>
      <c r="F30" s="154">
        <f>541.89064-315.364827</f>
        <v>226.52581299999997</v>
      </c>
      <c r="G30" s="154">
        <f>226.395813</f>
        <v>226.395813</v>
      </c>
      <c r="H30" s="154">
        <f>269.124085</f>
        <v>269.12408499999998</v>
      </c>
      <c r="K30" s="45"/>
    </row>
    <row r="31" spans="2:11" ht="15" thickBot="1" x14ac:dyDescent="0.25">
      <c r="B31" s="45"/>
      <c r="C31" s="154"/>
      <c r="D31" s="154"/>
      <c r="E31" s="154"/>
      <c r="F31" s="154"/>
      <c r="G31" s="154"/>
      <c r="H31" s="154"/>
      <c r="K31" s="45"/>
    </row>
    <row r="32" spans="2:11" ht="15" thickBot="1" x14ac:dyDescent="0.25">
      <c r="B32" s="64" t="s">
        <v>815</v>
      </c>
      <c r="C32" s="153">
        <f t="shared" ref="C32:H32" si="1">SUM(C24:C31)</f>
        <v>4689.5463290000007</v>
      </c>
      <c r="D32" s="153">
        <f t="shared" si="1"/>
        <v>3869.1648410000003</v>
      </c>
      <c r="E32" s="153">
        <f t="shared" si="1"/>
        <v>4426.347632</v>
      </c>
      <c r="F32" s="153">
        <f t="shared" si="1"/>
        <v>3069.2585600000002</v>
      </c>
      <c r="G32" s="153">
        <f t="shared" si="1"/>
        <v>3057.834202</v>
      </c>
      <c r="H32" s="153">
        <f t="shared" si="1"/>
        <v>2201.7443279999998</v>
      </c>
      <c r="K32" s="45"/>
    </row>
    <row r="33" spans="2:11" ht="15" thickBot="1" x14ac:dyDescent="0.25">
      <c r="B33" s="191"/>
      <c r="C33" s="261"/>
      <c r="D33" s="261"/>
      <c r="E33" s="261"/>
      <c r="F33" s="261"/>
      <c r="G33" s="261"/>
      <c r="H33" s="261"/>
      <c r="K33" s="45"/>
    </row>
    <row r="34" spans="2:11" ht="15" thickBot="1" x14ac:dyDescent="0.25">
      <c r="B34" s="64" t="s">
        <v>816</v>
      </c>
      <c r="C34" s="153">
        <v>111.850156</v>
      </c>
      <c r="D34" s="153">
        <v>0</v>
      </c>
      <c r="E34" s="153">
        <v>0</v>
      </c>
      <c r="F34" s="153">
        <v>0</v>
      </c>
      <c r="G34" s="153">
        <v>0</v>
      </c>
      <c r="H34" s="153">
        <v>0</v>
      </c>
    </row>
    <row r="35" spans="2:11" ht="15" thickBot="1" x14ac:dyDescent="0.25">
      <c r="B35" s="191"/>
      <c r="C35" s="261"/>
      <c r="D35" s="261"/>
      <c r="E35" s="261"/>
      <c r="F35" s="261"/>
      <c r="G35" s="261"/>
      <c r="H35" s="261"/>
    </row>
    <row r="36" spans="2:11" ht="15" thickBot="1" x14ac:dyDescent="0.25">
      <c r="B36" s="64" t="s">
        <v>45</v>
      </c>
      <c r="C36" s="153">
        <f t="shared" ref="C36:H36" si="2">C22+C32+C34</f>
        <v>10453.150947000002</v>
      </c>
      <c r="D36" s="153">
        <f t="shared" si="2"/>
        <v>9381.1994279999999</v>
      </c>
      <c r="E36" s="153">
        <f t="shared" si="2"/>
        <v>9922.3357400000004</v>
      </c>
      <c r="F36" s="153">
        <f t="shared" si="2"/>
        <v>8345.8176700000004</v>
      </c>
      <c r="G36" s="153">
        <f t="shared" si="2"/>
        <v>8339.7505540000002</v>
      </c>
      <c r="H36" s="153">
        <f t="shared" si="2"/>
        <v>8262.2637639999994</v>
      </c>
    </row>
    <row r="37" spans="2:11" x14ac:dyDescent="0.2">
      <c r="B37" s="45"/>
      <c r="C37" s="154"/>
      <c r="D37" s="154"/>
      <c r="E37" s="154"/>
      <c r="F37" s="154"/>
      <c r="G37" s="154"/>
      <c r="H37" s="154"/>
    </row>
    <row r="38" spans="2:11" x14ac:dyDescent="0.2">
      <c r="B38" s="45"/>
      <c r="C38" s="154"/>
      <c r="D38" s="154"/>
      <c r="E38" s="154"/>
      <c r="F38" s="154"/>
      <c r="G38" s="154"/>
      <c r="H38" s="154"/>
    </row>
    <row r="39" spans="2:11" x14ac:dyDescent="0.2">
      <c r="B39" s="213" t="s">
        <v>817</v>
      </c>
      <c r="C39" s="154"/>
      <c r="D39" s="154"/>
      <c r="E39" s="154"/>
      <c r="F39" s="154"/>
      <c r="G39" s="154"/>
      <c r="H39" s="154"/>
    </row>
    <row r="40" spans="2:11" x14ac:dyDescent="0.2">
      <c r="B40" s="45"/>
      <c r="C40" s="154"/>
      <c r="D40" s="154"/>
      <c r="E40" s="154"/>
      <c r="F40" s="154"/>
      <c r="G40" s="154"/>
      <c r="H40" s="154"/>
    </row>
    <row r="41" spans="2:11" x14ac:dyDescent="0.2">
      <c r="B41" s="45" t="s">
        <v>643</v>
      </c>
      <c r="C41" s="146">
        <v>5291.7006709999996</v>
      </c>
      <c r="D41" s="154">
        <v>5377.0006709999998</v>
      </c>
      <c r="E41" s="154">
        <v>5377.0006709999998</v>
      </c>
      <c r="F41" s="154">
        <v>5377.0006709999998</v>
      </c>
      <c r="G41" s="154">
        <v>5377.0006709999998</v>
      </c>
      <c r="H41" s="154">
        <v>5377.0006709999998</v>
      </c>
    </row>
    <row r="42" spans="2:11" x14ac:dyDescent="0.2">
      <c r="B42" s="45" t="s">
        <v>818</v>
      </c>
      <c r="C42" s="146">
        <v>131.97089099999999</v>
      </c>
      <c r="D42" s="154">
        <v>0</v>
      </c>
      <c r="E42" s="154">
        <v>0</v>
      </c>
      <c r="F42" s="154">
        <v>0</v>
      </c>
      <c r="G42" s="154">
        <v>0</v>
      </c>
      <c r="H42" s="154">
        <v>0</v>
      </c>
    </row>
    <row r="43" spans="2:11" x14ac:dyDescent="0.2">
      <c r="B43" s="45" t="s">
        <v>1000</v>
      </c>
      <c r="C43" s="146">
        <v>483.063692</v>
      </c>
      <c r="D43" s="155">
        <v>-4.9660000000000003E-2</v>
      </c>
      <c r="E43" s="154">
        <v>231.45031900000001</v>
      </c>
      <c r="F43" s="181"/>
      <c r="G43" s="181"/>
      <c r="H43" s="181"/>
    </row>
    <row r="44" spans="2:11" x14ac:dyDescent="0.2">
      <c r="B44" s="45" t="s">
        <v>1001</v>
      </c>
      <c r="C44" s="181"/>
      <c r="D44" s="181"/>
      <c r="E44" s="181"/>
      <c r="F44" s="154">
        <f>217.92173</f>
        <v>217.92173</v>
      </c>
      <c r="G44" s="154">
        <v>217.92173</v>
      </c>
      <c r="H44" s="154">
        <v>217.92173</v>
      </c>
    </row>
    <row r="45" spans="2:11" x14ac:dyDescent="0.2">
      <c r="B45" s="45" t="s">
        <v>819</v>
      </c>
      <c r="C45" s="181"/>
      <c r="D45" s="181"/>
      <c r="E45" s="181"/>
      <c r="F45" s="155">
        <v>-249.942725</v>
      </c>
      <c r="G45" s="155">
        <v>-254.44777300000001</v>
      </c>
      <c r="H45" s="155">
        <v>-438.689412</v>
      </c>
    </row>
    <row r="46" spans="2:11" x14ac:dyDescent="0.2">
      <c r="B46" s="45" t="s">
        <v>820</v>
      </c>
      <c r="C46" s="154">
        <v>-512.11097800000005</v>
      </c>
      <c r="D46" s="155">
        <v>-38.051085</v>
      </c>
      <c r="E46" s="155">
        <v>-40.620005999999997</v>
      </c>
      <c r="F46" s="154">
        <v>89.516098</v>
      </c>
      <c r="G46" s="154">
        <v>89.516098</v>
      </c>
      <c r="H46" s="154">
        <v>30.600997</v>
      </c>
    </row>
    <row r="47" spans="2:11" x14ac:dyDescent="0.2">
      <c r="B47" s="45" t="s">
        <v>999</v>
      </c>
      <c r="C47" s="150">
        <v>-776.01390000000004</v>
      </c>
      <c r="D47" s="155">
        <v>-249.942725</v>
      </c>
      <c r="E47" s="155">
        <v>-263.471315</v>
      </c>
      <c r="F47" s="155">
        <v>-184.24163899999999</v>
      </c>
      <c r="G47" s="155">
        <v>-184.24163899999999</v>
      </c>
      <c r="H47" s="154">
        <v>55.159078999999998</v>
      </c>
    </row>
    <row r="48" spans="2:11" ht="15" thickBot="1" x14ac:dyDescent="0.25">
      <c r="B48" s="45"/>
      <c r="C48" s="154"/>
      <c r="D48" s="154"/>
      <c r="E48" s="154"/>
      <c r="F48" s="154"/>
      <c r="G48" s="154"/>
      <c r="H48" s="154"/>
    </row>
    <row r="49" spans="2:8" ht="15" thickBot="1" x14ac:dyDescent="0.25">
      <c r="B49" s="64" t="s">
        <v>646</v>
      </c>
      <c r="C49" s="153">
        <f t="shared" ref="C49:H49" si="3">SUM(C41:C48)</f>
        <v>4618.6103759999996</v>
      </c>
      <c r="D49" s="153">
        <f t="shared" si="3"/>
        <v>5088.9572010000002</v>
      </c>
      <c r="E49" s="153">
        <f t="shared" si="3"/>
        <v>5304.3596689999995</v>
      </c>
      <c r="F49" s="153">
        <f t="shared" si="3"/>
        <v>5250.2541350000001</v>
      </c>
      <c r="G49" s="153">
        <f t="shared" si="3"/>
        <v>5245.7490870000001</v>
      </c>
      <c r="H49" s="153">
        <f t="shared" si="3"/>
        <v>5241.9930649999997</v>
      </c>
    </row>
    <row r="50" spans="2:8" x14ac:dyDescent="0.2">
      <c r="B50" s="191"/>
      <c r="C50" s="261"/>
      <c r="D50" s="261"/>
      <c r="E50" s="261"/>
      <c r="F50" s="261"/>
      <c r="G50" s="261"/>
      <c r="H50" s="261"/>
    </row>
    <row r="51" spans="2:8" x14ac:dyDescent="0.2">
      <c r="B51" s="45" t="s">
        <v>691</v>
      </c>
      <c r="C51" s="154">
        <v>599.29481299999998</v>
      </c>
      <c r="D51" s="154">
        <v>0</v>
      </c>
      <c r="E51" s="154">
        <v>0</v>
      </c>
      <c r="F51" s="154">
        <v>0</v>
      </c>
      <c r="G51" s="154">
        <v>0</v>
      </c>
      <c r="H51" s="154">
        <v>0</v>
      </c>
    </row>
    <row r="52" spans="2:8" x14ac:dyDescent="0.2">
      <c r="B52" s="45" t="s">
        <v>585</v>
      </c>
      <c r="C52" s="154">
        <v>21.671849000000002</v>
      </c>
      <c r="D52" s="154">
        <v>20.722304999999999</v>
      </c>
      <c r="E52" s="154">
        <v>22.036677999999998</v>
      </c>
      <c r="F52" s="154">
        <v>19.838519999999999</v>
      </c>
      <c r="G52" s="154">
        <v>19.838519999999999</v>
      </c>
      <c r="H52" s="154">
        <v>15.094749</v>
      </c>
    </row>
    <row r="53" spans="2:8" x14ac:dyDescent="0.2">
      <c r="B53" s="45" t="s">
        <v>821</v>
      </c>
      <c r="C53" s="154">
        <v>0</v>
      </c>
      <c r="D53" s="154">
        <v>0</v>
      </c>
      <c r="E53" s="154">
        <v>0</v>
      </c>
      <c r="F53" s="154">
        <v>35.155850999999998</v>
      </c>
      <c r="G53" s="154">
        <v>35.155850999999998</v>
      </c>
      <c r="H53" s="154">
        <v>12.184517</v>
      </c>
    </row>
    <row r="54" spans="2:8" x14ac:dyDescent="0.2">
      <c r="B54" s="45" t="s">
        <v>822</v>
      </c>
      <c r="C54" s="154">
        <v>626.729422</v>
      </c>
      <c r="D54" s="154">
        <v>210.98716300000001</v>
      </c>
      <c r="E54" s="154">
        <v>210.98716300000001</v>
      </c>
      <c r="F54" s="154">
        <v>212.951606</v>
      </c>
      <c r="G54" s="154">
        <v>212.951606</v>
      </c>
      <c r="H54" s="154">
        <v>270.78260899999998</v>
      </c>
    </row>
    <row r="55" spans="2:8" x14ac:dyDescent="0.2">
      <c r="B55" s="45" t="s">
        <v>823</v>
      </c>
      <c r="C55" s="154">
        <v>313.87741499999998</v>
      </c>
      <c r="D55" s="154">
        <v>74.109620000000007</v>
      </c>
      <c r="E55" s="154">
        <v>74.109620000000007</v>
      </c>
      <c r="F55" s="154">
        <v>67.315141999999994</v>
      </c>
      <c r="G55" s="154">
        <v>67.315141999999994</v>
      </c>
      <c r="H55" s="154">
        <v>174.551715</v>
      </c>
    </row>
    <row r="56" spans="2:8" x14ac:dyDescent="0.2">
      <c r="B56" s="45" t="s">
        <v>586</v>
      </c>
      <c r="C56" s="154">
        <v>802.85339899999997</v>
      </c>
      <c r="D56" s="154">
        <v>788.17441499999995</v>
      </c>
      <c r="E56" s="154">
        <v>794.47826799999996</v>
      </c>
      <c r="F56" s="154">
        <v>865.22080500000004</v>
      </c>
      <c r="G56" s="154">
        <f>442.276829+137.126451+38.316549+247.500976</f>
        <v>865.22080500000004</v>
      </c>
      <c r="H56" s="154">
        <f>64.252411+69.984327+29.495992+250.828312</f>
        <v>414.56104200000004</v>
      </c>
    </row>
    <row r="57" spans="2:8" ht="15" thickBot="1" x14ac:dyDescent="0.25">
      <c r="B57" s="45"/>
      <c r="C57" s="154"/>
      <c r="D57" s="154"/>
      <c r="E57" s="154"/>
      <c r="F57" s="154"/>
      <c r="G57" s="154"/>
      <c r="H57" s="154"/>
    </row>
    <row r="58" spans="2:8" ht="15" thickBot="1" x14ac:dyDescent="0.25">
      <c r="B58" s="64" t="s">
        <v>825</v>
      </c>
      <c r="C58" s="153">
        <f t="shared" ref="C58:H58" si="4">SUM(C51:C57)</f>
        <v>2364.4268979999997</v>
      </c>
      <c r="D58" s="153">
        <f t="shared" si="4"/>
        <v>1093.9935029999999</v>
      </c>
      <c r="E58" s="153">
        <f t="shared" si="4"/>
        <v>1101.611729</v>
      </c>
      <c r="F58" s="153">
        <f t="shared" si="4"/>
        <v>1200.4819239999999</v>
      </c>
      <c r="G58" s="153">
        <f t="shared" si="4"/>
        <v>1200.4819239999999</v>
      </c>
      <c r="H58" s="153">
        <f t="shared" si="4"/>
        <v>887.17463199999997</v>
      </c>
    </row>
    <row r="59" spans="2:8" x14ac:dyDescent="0.2">
      <c r="B59" s="191"/>
      <c r="C59" s="261"/>
      <c r="D59" s="261"/>
      <c r="E59" s="261"/>
      <c r="F59" s="261"/>
      <c r="G59" s="261"/>
      <c r="H59" s="261"/>
    </row>
    <row r="60" spans="2:8" x14ac:dyDescent="0.2">
      <c r="B60" s="45" t="s">
        <v>691</v>
      </c>
      <c r="C60" s="154">
        <v>28.501953</v>
      </c>
      <c r="D60" s="146">
        <v>614.81834400000002</v>
      </c>
      <c r="E60" s="146">
        <v>614.81834400000002</v>
      </c>
      <c r="F60" s="154">
        <v>0</v>
      </c>
      <c r="G60" s="154">
        <v>0</v>
      </c>
      <c r="H60" s="154">
        <v>0</v>
      </c>
    </row>
    <row r="61" spans="2:8" x14ac:dyDescent="0.2">
      <c r="B61" s="45" t="s">
        <v>582</v>
      </c>
      <c r="C61" s="154">
        <v>821.84581600000001</v>
      </c>
      <c r="D61" s="146">
        <v>821.92973800000004</v>
      </c>
      <c r="E61" s="146">
        <v>1285.4590000000001</v>
      </c>
      <c r="F61" s="154">
        <v>1205.1346510000001</v>
      </c>
      <c r="G61" s="154">
        <v>1205.1346510000001</v>
      </c>
      <c r="H61" s="154">
        <v>1012.254092</v>
      </c>
    </row>
    <row r="62" spans="2:8" x14ac:dyDescent="0.2">
      <c r="B62" s="45" t="s">
        <v>836</v>
      </c>
      <c r="C62" s="154">
        <f>20.391609+153.082</f>
        <v>173.47360899999998</v>
      </c>
      <c r="D62" s="146">
        <f>0+28.471</f>
        <v>28.471</v>
      </c>
      <c r="E62" s="146">
        <v>1.0389999999999999</v>
      </c>
      <c r="F62" s="154">
        <f>12.656972+8.311</f>
        <v>20.967972</v>
      </c>
      <c r="G62" s="154">
        <v>20.967972</v>
      </c>
      <c r="H62" s="154">
        <v>0</v>
      </c>
    </row>
    <row r="63" spans="2:8" x14ac:dyDescent="0.2">
      <c r="B63" s="45" t="s">
        <v>826</v>
      </c>
      <c r="C63" s="154">
        <f>59.787+21.914+16.492+2.511+111.957</f>
        <v>212.661</v>
      </c>
      <c r="D63" s="146">
        <f>24.205+16.809+0.811+113.647</f>
        <v>155.47200000000001</v>
      </c>
      <c r="E63" s="146">
        <f>948.643-E64</f>
        <v>215.91200000000003</v>
      </c>
      <c r="F63" s="154">
        <f>24.92+17.891+0.562+41.351</f>
        <v>84.72399999999999</v>
      </c>
      <c r="G63" s="154">
        <v>84.724511000000007</v>
      </c>
      <c r="H63" s="154">
        <v>96.090236000000004</v>
      </c>
    </row>
    <row r="64" spans="2:8" x14ac:dyDescent="0.2">
      <c r="B64" s="45" t="s">
        <v>827</v>
      </c>
      <c r="C64" s="154">
        <v>1345.557</v>
      </c>
      <c r="D64" s="146">
        <v>445.77499999999998</v>
      </c>
      <c r="E64" s="146">
        <f>208.122+524.609</f>
        <v>732.73099999999999</v>
      </c>
      <c r="F64" s="154">
        <f>9.908+249.358</f>
        <v>259.26600000000002</v>
      </c>
      <c r="G64" s="154">
        <v>257.70395300000001</v>
      </c>
      <c r="H64" s="154">
        <v>492.11443700000001</v>
      </c>
    </row>
    <row r="65" spans="2:13" x14ac:dyDescent="0.2">
      <c r="B65" s="45" t="s">
        <v>828</v>
      </c>
      <c r="C65" s="154">
        <f>13.949+21.11+58.494+95.008+0.051+0.021</f>
        <v>188.63299999999995</v>
      </c>
      <c r="D65" s="146">
        <f>21.565+150.59+112.245+54.627+0.03</f>
        <v>339.05699999999996</v>
      </c>
      <c r="E65" s="146">
        <f>21.565+150.59+112.245+38.539+25.03</f>
        <v>347.96899999999994</v>
      </c>
      <c r="F65" s="154">
        <f>34.227+0.203+3.86+19.316+8.047</f>
        <v>65.652999999999992</v>
      </c>
      <c r="G65" s="154">
        <v>65.652823999999995</v>
      </c>
      <c r="H65" s="154">
        <v>114.263322</v>
      </c>
    </row>
    <row r="66" spans="2:13" x14ac:dyDescent="0.2">
      <c r="B66" s="45" t="s">
        <v>829</v>
      </c>
      <c r="C66" s="154">
        <v>699.26300000000003</v>
      </c>
      <c r="D66" s="146">
        <v>792.726</v>
      </c>
      <c r="E66" s="146">
        <v>318.43599999999998</v>
      </c>
      <c r="F66" s="154">
        <v>259.33600000000001</v>
      </c>
      <c r="G66" s="154">
        <v>259.33576299999999</v>
      </c>
      <c r="H66" s="154">
        <v>418.41897999999998</v>
      </c>
    </row>
    <row r="67" spans="2:13" ht="15" thickBot="1" x14ac:dyDescent="0.25">
      <c r="B67" s="45"/>
      <c r="C67" s="154"/>
      <c r="D67" s="154"/>
      <c r="E67" s="154"/>
      <c r="F67" s="154"/>
      <c r="G67" s="154"/>
      <c r="H67" s="154"/>
    </row>
    <row r="68" spans="2:13" ht="15" thickBot="1" x14ac:dyDescent="0.25">
      <c r="B68" s="64" t="s">
        <v>830</v>
      </c>
      <c r="C68" s="153">
        <f t="shared" ref="C68:H68" si="5">SUM(C60:C67)</f>
        <v>3469.9353779999997</v>
      </c>
      <c r="D68" s="120">
        <f t="shared" si="5"/>
        <v>3198.2490819999998</v>
      </c>
      <c r="E68" s="153">
        <f t="shared" si="5"/>
        <v>3516.3643440000001</v>
      </c>
      <c r="F68" s="153">
        <f t="shared" si="5"/>
        <v>1895.081623</v>
      </c>
      <c r="G68" s="153">
        <f t="shared" si="5"/>
        <v>1893.5196740000001</v>
      </c>
      <c r="H68" s="153">
        <f t="shared" si="5"/>
        <v>2133.141067</v>
      </c>
    </row>
    <row r="69" spans="2:13" ht="15" thickBot="1" x14ac:dyDescent="0.25">
      <c r="B69" s="191"/>
      <c r="C69" s="261"/>
      <c r="D69" s="261"/>
      <c r="E69" s="261"/>
      <c r="F69" s="261"/>
      <c r="G69" s="261"/>
      <c r="H69" s="261"/>
    </row>
    <row r="70" spans="2:13" ht="15" thickBot="1" x14ac:dyDescent="0.25">
      <c r="B70" s="64" t="s">
        <v>831</v>
      </c>
      <c r="C70" s="153">
        <v>0.17857100000000001</v>
      </c>
      <c r="D70" s="153">
        <v>0</v>
      </c>
      <c r="E70" s="153"/>
      <c r="F70" s="153">
        <v>0</v>
      </c>
      <c r="G70" s="153">
        <v>0</v>
      </c>
      <c r="H70" s="153">
        <v>0</v>
      </c>
    </row>
    <row r="71" spans="2:13" ht="15" thickBot="1" x14ac:dyDescent="0.25">
      <c r="B71" s="191"/>
      <c r="C71" s="261"/>
      <c r="D71" s="261"/>
      <c r="E71" s="261"/>
      <c r="F71" s="261"/>
      <c r="G71" s="261"/>
      <c r="H71" s="261"/>
    </row>
    <row r="72" spans="2:13" ht="15" thickBot="1" x14ac:dyDescent="0.25">
      <c r="B72" s="64" t="s">
        <v>832</v>
      </c>
      <c r="C72" s="153">
        <f t="shared" ref="C72:H72" si="6">C49+C58+C68+C70</f>
        <v>10453.151222999999</v>
      </c>
      <c r="D72" s="153">
        <f t="shared" si="6"/>
        <v>9381.1997859999992</v>
      </c>
      <c r="E72" s="153">
        <f t="shared" si="6"/>
        <v>9922.3357419999993</v>
      </c>
      <c r="F72" s="153">
        <f t="shared" si="6"/>
        <v>8345.8176820000008</v>
      </c>
      <c r="G72" s="153">
        <f t="shared" si="6"/>
        <v>8339.7506849999991</v>
      </c>
      <c r="H72" s="153">
        <f t="shared" si="6"/>
        <v>8262.3087639999994</v>
      </c>
    </row>
    <row r="73" spans="2:13" x14ac:dyDescent="0.2">
      <c r="B73" s="44"/>
      <c r="C73" s="260"/>
      <c r="D73" s="260"/>
      <c r="E73" s="260"/>
      <c r="F73" s="260"/>
      <c r="G73" s="260"/>
      <c r="H73" s="260"/>
    </row>
    <row r="74" spans="2:13" ht="26.25" customHeight="1" x14ac:dyDescent="0.2">
      <c r="B74" s="606" t="s">
        <v>933</v>
      </c>
      <c r="C74" s="606"/>
      <c r="D74" s="606"/>
      <c r="E74" s="606"/>
      <c r="F74" s="606"/>
      <c r="G74" s="606"/>
      <c r="H74" s="606"/>
      <c r="I74" s="606"/>
      <c r="J74" s="606"/>
      <c r="K74" s="606"/>
      <c r="L74" s="532"/>
      <c r="M74" s="532"/>
    </row>
    <row r="75" spans="2:13" ht="12.6" customHeight="1" x14ac:dyDescent="0.2">
      <c r="B75" s="598" t="s">
        <v>995</v>
      </c>
      <c r="C75" s="598"/>
      <c r="D75" s="598"/>
      <c r="E75" s="598"/>
      <c r="F75" s="598"/>
      <c r="G75" s="598"/>
      <c r="H75" s="598"/>
      <c r="I75" s="598"/>
      <c r="J75" s="598"/>
      <c r="K75" s="598"/>
      <c r="L75" s="598"/>
      <c r="M75" s="532"/>
    </row>
    <row r="76" spans="2:13" ht="36" customHeight="1" x14ac:dyDescent="0.2">
      <c r="B76" s="598" t="s">
        <v>631</v>
      </c>
      <c r="C76" s="598"/>
      <c r="D76" s="598"/>
      <c r="E76" s="598"/>
      <c r="F76" s="598"/>
      <c r="G76" s="598"/>
      <c r="H76" s="598"/>
      <c r="I76" s="598"/>
      <c r="J76" s="598"/>
      <c r="K76" s="598"/>
      <c r="L76" s="598"/>
    </row>
    <row r="77" spans="2:13" ht="14.45" customHeight="1" x14ac:dyDescent="0.2">
      <c r="B77" s="598" t="s">
        <v>997</v>
      </c>
      <c r="C77" s="598"/>
      <c r="D77" s="598"/>
      <c r="E77" s="598"/>
      <c r="F77" s="598"/>
      <c r="G77" s="598"/>
      <c r="H77" s="598"/>
      <c r="I77" s="598"/>
      <c r="J77" s="598"/>
      <c r="K77" s="598"/>
      <c r="L77" s="598"/>
    </row>
    <row r="78" spans="2:13" x14ac:dyDescent="0.2">
      <c r="B78" s="518"/>
      <c r="C78" s="44"/>
      <c r="D78" s="44"/>
      <c r="E78" s="44"/>
      <c r="F78" s="44"/>
      <c r="G78" s="44"/>
      <c r="H78" s="44"/>
    </row>
    <row r="79" spans="2:13" x14ac:dyDescent="0.2">
      <c r="B79" s="518"/>
      <c r="C79" s="44"/>
      <c r="D79" s="44"/>
      <c r="E79" s="44"/>
      <c r="F79" s="44"/>
      <c r="G79" s="44"/>
      <c r="H79" s="44"/>
    </row>
  </sheetData>
  <mergeCells count="4">
    <mergeCell ref="B76:L76"/>
    <mergeCell ref="B77:L77"/>
    <mergeCell ref="B75:L75"/>
    <mergeCell ref="B74:K74"/>
  </mergeCells>
  <pageMargins left="0.7" right="0.7" top="0.75" bottom="0.75" header="0.3" footer="0.3"/>
  <pageSetup paperSize="9" scale="46"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A5060-B905-4A2C-8C7D-78B02EEB1353}">
  <sheetPr>
    <tabColor rgb="FF7030A0"/>
  </sheetPr>
  <dimension ref="A4:L58"/>
  <sheetViews>
    <sheetView showGridLines="0" zoomScale="85" zoomScaleNormal="85" workbookViewId="0">
      <selection activeCell="F34" sqref="F34"/>
    </sheetView>
  </sheetViews>
  <sheetFormatPr defaultColWidth="9.140625" defaultRowHeight="14.25" x14ac:dyDescent="0.2"/>
  <cols>
    <col min="1" max="1" width="5.7109375" style="13" customWidth="1"/>
    <col min="2" max="2" width="47.85546875" style="48" customWidth="1"/>
    <col min="3" max="9" width="15.5703125" style="50" customWidth="1"/>
    <col min="10" max="10" width="15.7109375" style="50" customWidth="1"/>
    <col min="11" max="12" width="15.7109375" style="48" customWidth="1"/>
    <col min="13" max="16384" width="9.140625" style="48"/>
  </cols>
  <sheetData>
    <row r="4" spans="2:12" x14ac:dyDescent="0.2">
      <c r="C4" s="48"/>
      <c r="D4" s="48"/>
      <c r="E4" s="48"/>
      <c r="F4" s="48"/>
      <c r="G4" s="48"/>
      <c r="H4" s="48"/>
      <c r="I4" s="48"/>
      <c r="J4" s="48"/>
    </row>
    <row r="5" spans="2:12" x14ac:dyDescent="0.2">
      <c r="C5" s="48"/>
      <c r="D5" s="48"/>
      <c r="E5" s="48"/>
      <c r="F5" s="48"/>
      <c r="G5" s="48"/>
      <c r="H5" s="48"/>
      <c r="I5" s="48"/>
      <c r="J5" s="48"/>
    </row>
    <row r="6" spans="2:12" x14ac:dyDescent="0.2">
      <c r="C6" s="48"/>
      <c r="D6" s="48"/>
      <c r="E6" s="48"/>
      <c r="F6" s="48"/>
      <c r="G6" s="48"/>
      <c r="H6" s="48"/>
      <c r="I6" s="48"/>
      <c r="J6" s="48"/>
    </row>
    <row r="7" spans="2:12" x14ac:dyDescent="0.2">
      <c r="C7" s="48"/>
      <c r="D7" s="48"/>
      <c r="E7" s="48"/>
      <c r="F7" s="48"/>
      <c r="G7" s="48"/>
      <c r="H7" s="48"/>
      <c r="I7" s="48"/>
      <c r="J7" s="48"/>
    </row>
    <row r="8" spans="2:12" ht="30" customHeight="1" thickBot="1" x14ac:dyDescent="0.3">
      <c r="C8" s="48"/>
      <c r="D8" s="48"/>
      <c r="E8" s="67"/>
      <c r="F8" s="68"/>
      <c r="G8" s="607" t="s">
        <v>675</v>
      </c>
      <c r="H8" s="608"/>
      <c r="I8" s="48"/>
      <c r="J8" s="48"/>
    </row>
    <row r="9" spans="2:12" ht="69" customHeight="1" thickBot="1" x14ac:dyDescent="0.3">
      <c r="B9" s="262" t="s">
        <v>806</v>
      </c>
      <c r="C9" s="541" t="s">
        <v>643</v>
      </c>
      <c r="D9" s="541" t="s">
        <v>818</v>
      </c>
      <c r="E9" s="541" t="s">
        <v>726</v>
      </c>
      <c r="F9" s="541" t="s">
        <v>727</v>
      </c>
      <c r="G9" s="540" t="s">
        <v>644</v>
      </c>
      <c r="H9" s="542" t="s">
        <v>1003</v>
      </c>
      <c r="I9" s="541" t="s">
        <v>645</v>
      </c>
      <c r="J9" s="541" t="s">
        <v>646</v>
      </c>
      <c r="K9" s="49"/>
      <c r="L9" s="49"/>
    </row>
    <row r="10" spans="2:12" ht="18.75" thickBot="1" x14ac:dyDescent="0.3">
      <c r="B10" s="263"/>
      <c r="C10" s="264"/>
      <c r="D10" s="264"/>
      <c r="E10" s="264"/>
      <c r="F10" s="264"/>
      <c r="G10" s="264"/>
      <c r="H10" s="264"/>
      <c r="I10" s="264"/>
      <c r="J10" s="264"/>
      <c r="K10" s="49"/>
      <c r="L10" s="49"/>
    </row>
    <row r="11" spans="2:12" ht="17.25" customHeight="1" thickBot="1" x14ac:dyDescent="0.25">
      <c r="B11" s="64" t="s">
        <v>650</v>
      </c>
      <c r="C11" s="265">
        <v>5291.7006709999996</v>
      </c>
      <c r="D11" s="265">
        <v>131.97089099999999</v>
      </c>
      <c r="E11" s="265"/>
      <c r="F11" s="265">
        <v>520.533367</v>
      </c>
      <c r="G11" s="483">
        <v>-323.10907500000002</v>
      </c>
      <c r="H11" s="483">
        <v>-2.473322</v>
      </c>
      <c r="I11" s="483">
        <v>-37.469676</v>
      </c>
      <c r="J11" s="266">
        <f>SUM(C11:I11)</f>
        <v>5581.1528559999997</v>
      </c>
    </row>
    <row r="12" spans="2:12" ht="17.25" customHeight="1" x14ac:dyDescent="0.2">
      <c r="B12" s="191"/>
      <c r="C12" s="267"/>
      <c r="D12" s="267"/>
      <c r="E12" s="267"/>
      <c r="F12" s="267"/>
      <c r="G12" s="267"/>
      <c r="H12" s="267"/>
      <c r="I12" s="267"/>
      <c r="J12" s="268"/>
    </row>
    <row r="13" spans="2:12" ht="17.25" customHeight="1" x14ac:dyDescent="0.2">
      <c r="B13" s="53" t="s">
        <v>647</v>
      </c>
      <c r="C13" s="269"/>
      <c r="D13" s="269"/>
      <c r="E13" s="269"/>
      <c r="F13" s="486">
        <v>-37.469676</v>
      </c>
      <c r="G13" s="269"/>
      <c r="H13" s="269"/>
      <c r="I13" s="269">
        <v>37.469676</v>
      </c>
      <c r="J13" s="268"/>
    </row>
    <row r="14" spans="2:12" ht="17.25" customHeight="1" x14ac:dyDescent="0.2">
      <c r="B14" s="53" t="s">
        <v>648</v>
      </c>
      <c r="C14" s="270"/>
      <c r="D14" s="270"/>
      <c r="E14" s="271"/>
      <c r="F14" s="271"/>
      <c r="G14" s="484">
        <v>-188.31836000000001</v>
      </c>
      <c r="H14" s="270">
        <v>1.7897799999999999</v>
      </c>
      <c r="I14" s="484">
        <v>-776.01390000000004</v>
      </c>
      <c r="J14" s="485">
        <f t="shared" ref="J14:J48" si="0">SUM(C14:I14)</f>
        <v>-962.54248000000007</v>
      </c>
    </row>
    <row r="15" spans="2:12" ht="17.25" customHeight="1" x14ac:dyDescent="0.2">
      <c r="B15" s="74" t="s">
        <v>673</v>
      </c>
      <c r="C15" s="270"/>
      <c r="D15" s="270"/>
      <c r="E15" s="270"/>
      <c r="F15" s="270"/>
      <c r="G15" s="270"/>
      <c r="H15" s="270"/>
      <c r="I15" s="270"/>
      <c r="J15" s="268"/>
    </row>
    <row r="16" spans="2:12" ht="17.25" customHeight="1" x14ac:dyDescent="0.2">
      <c r="B16" s="74" t="s">
        <v>662</v>
      </c>
      <c r="C16" s="270"/>
      <c r="D16" s="272"/>
      <c r="E16" s="270"/>
      <c r="F16" s="270"/>
      <c r="G16" s="484">
        <v>-188.31836000000001</v>
      </c>
      <c r="H16" s="270">
        <v>1.7897799999999999</v>
      </c>
      <c r="I16" s="270"/>
      <c r="J16" s="485">
        <f t="shared" si="0"/>
        <v>-186.52858000000001</v>
      </c>
    </row>
    <row r="17" spans="2:10" ht="17.25" customHeight="1" x14ac:dyDescent="0.2">
      <c r="B17" s="74" t="s">
        <v>663</v>
      </c>
      <c r="C17" s="270"/>
      <c r="D17" s="270"/>
      <c r="E17" s="270"/>
      <c r="F17" s="270"/>
      <c r="G17" s="270"/>
      <c r="H17" s="270"/>
      <c r="I17" s="484">
        <v>-776.01390000000004</v>
      </c>
      <c r="J17" s="485">
        <f t="shared" si="0"/>
        <v>-776.01390000000004</v>
      </c>
    </row>
    <row r="18" spans="2:10" ht="17.25" customHeight="1" thickBot="1" x14ac:dyDescent="0.25">
      <c r="B18" s="74"/>
      <c r="C18" s="270"/>
      <c r="D18" s="270"/>
      <c r="E18" s="270"/>
      <c r="F18" s="270"/>
      <c r="G18" s="270"/>
      <c r="H18" s="270"/>
      <c r="I18" s="270"/>
      <c r="J18" s="268"/>
    </row>
    <row r="19" spans="2:10" ht="17.25" customHeight="1" thickBot="1" x14ac:dyDescent="0.25">
      <c r="B19" s="64" t="s">
        <v>649</v>
      </c>
      <c r="C19" s="273">
        <f>SUM(C11:C14)</f>
        <v>5291.7006709999996</v>
      </c>
      <c r="D19" s="273">
        <f>SUM(D11:D14)</f>
        <v>131.97089099999999</v>
      </c>
      <c r="E19" s="273"/>
      <c r="F19" s="273">
        <f>SUM(F11:F14)</f>
        <v>483.06369100000001</v>
      </c>
      <c r="G19" s="487">
        <f>SUM(G11:G14)</f>
        <v>-511.42743500000006</v>
      </c>
      <c r="H19" s="487">
        <f>SUM(H11:H14)</f>
        <v>-0.68354200000000009</v>
      </c>
      <c r="I19" s="487">
        <f>SUM(I11:I14)</f>
        <v>-776.01390000000004</v>
      </c>
      <c r="J19" s="266">
        <f t="shared" si="0"/>
        <v>4618.6103759999996</v>
      </c>
    </row>
    <row r="20" spans="2:10" ht="17.25" customHeight="1" x14ac:dyDescent="0.2">
      <c r="B20" s="191"/>
      <c r="C20" s="274"/>
      <c r="D20" s="274"/>
      <c r="E20" s="274"/>
      <c r="F20" s="274"/>
      <c r="G20" s="274"/>
      <c r="H20" s="274"/>
      <c r="I20" s="274"/>
      <c r="J20" s="268"/>
    </row>
    <row r="21" spans="2:10" ht="17.25" customHeight="1" x14ac:dyDescent="0.2">
      <c r="B21" s="53" t="s">
        <v>651</v>
      </c>
      <c r="C21" s="270"/>
      <c r="D21" s="484">
        <v>-131.97089099999999</v>
      </c>
      <c r="E21" s="270"/>
      <c r="F21" s="484">
        <v>-644.72655099999997</v>
      </c>
      <c r="G21" s="270"/>
      <c r="H21" s="270">
        <v>0.68354199999999998</v>
      </c>
      <c r="I21" s="270">
        <v>776.01390000000004</v>
      </c>
      <c r="J21" s="268"/>
    </row>
    <row r="22" spans="2:10" ht="17.25" customHeight="1" x14ac:dyDescent="0.2">
      <c r="B22" s="53" t="s">
        <v>653</v>
      </c>
      <c r="C22" s="270">
        <v>85.3</v>
      </c>
      <c r="D22" s="270"/>
      <c r="E22" s="270"/>
      <c r="F22" s="270">
        <v>161.69468000000001</v>
      </c>
      <c r="G22" s="270"/>
      <c r="H22" s="270"/>
      <c r="I22" s="270"/>
      <c r="J22" s="268">
        <f t="shared" si="0"/>
        <v>246.99468000000002</v>
      </c>
    </row>
    <row r="23" spans="2:10" ht="17.25" customHeight="1" x14ac:dyDescent="0.2">
      <c r="B23" s="53" t="s">
        <v>652</v>
      </c>
      <c r="C23" s="270"/>
      <c r="D23" s="270"/>
      <c r="E23" s="270"/>
      <c r="F23" s="484">
        <v>-8.1479999999999997E-2</v>
      </c>
      <c r="G23" s="270"/>
      <c r="H23" s="270"/>
      <c r="I23" s="270"/>
      <c r="J23" s="485">
        <f t="shared" si="0"/>
        <v>-8.1479999999999997E-2</v>
      </c>
    </row>
    <row r="24" spans="2:10" ht="17.25" customHeight="1" x14ac:dyDescent="0.2">
      <c r="B24" s="75" t="s">
        <v>674</v>
      </c>
      <c r="C24" s="275"/>
      <c r="D24" s="275"/>
      <c r="E24" s="275"/>
      <c r="F24" s="275"/>
      <c r="G24" s="275">
        <f>SUM(G26:G26)</f>
        <v>474.325828</v>
      </c>
      <c r="H24" s="488">
        <f>SUM(H26:H26)</f>
        <v>-0.94947800000000004</v>
      </c>
      <c r="I24" s="488">
        <f>SUM(I26:I27)</f>
        <v>-249.942725</v>
      </c>
      <c r="J24" s="268">
        <f t="shared" si="0"/>
        <v>223.43362500000001</v>
      </c>
    </row>
    <row r="25" spans="2:10" ht="17.25" customHeight="1" x14ac:dyDescent="0.2">
      <c r="B25" s="74" t="s">
        <v>673</v>
      </c>
      <c r="C25" s="270"/>
      <c r="D25" s="270"/>
      <c r="E25" s="270"/>
      <c r="F25" s="270"/>
      <c r="G25" s="270"/>
      <c r="H25" s="270"/>
      <c r="I25" s="270"/>
      <c r="J25" s="268"/>
    </row>
    <row r="26" spans="2:10" ht="17.25" customHeight="1" x14ac:dyDescent="0.2">
      <c r="B26" s="74" t="s">
        <v>662</v>
      </c>
      <c r="C26" s="270"/>
      <c r="D26" s="270"/>
      <c r="E26" s="270"/>
      <c r="F26" s="270"/>
      <c r="G26" s="270">
        <v>474.325828</v>
      </c>
      <c r="H26" s="484">
        <v>-0.94947800000000004</v>
      </c>
      <c r="I26" s="271"/>
      <c r="J26" s="268">
        <f>SUM(C26:I26)</f>
        <v>473.37635</v>
      </c>
    </row>
    <row r="27" spans="2:10" ht="17.25" customHeight="1" x14ac:dyDescent="0.2">
      <c r="B27" s="74" t="s">
        <v>665</v>
      </c>
      <c r="C27" s="270"/>
      <c r="D27" s="270"/>
      <c r="E27" s="270"/>
      <c r="F27" s="270"/>
      <c r="G27" s="270"/>
      <c r="H27" s="270"/>
      <c r="I27" s="484">
        <v>-249.942725</v>
      </c>
      <c r="J27" s="485">
        <f t="shared" si="0"/>
        <v>-249.942725</v>
      </c>
    </row>
    <row r="28" spans="2:10" ht="17.25" customHeight="1" thickBot="1" x14ac:dyDescent="0.25">
      <c r="B28" s="74"/>
      <c r="C28" s="270"/>
      <c r="D28" s="270"/>
      <c r="E28" s="270"/>
      <c r="F28" s="270"/>
      <c r="G28" s="270"/>
      <c r="H28" s="270"/>
      <c r="I28" s="270"/>
      <c r="J28" s="268"/>
    </row>
    <row r="29" spans="2:10" ht="17.25" customHeight="1" thickBot="1" x14ac:dyDescent="0.25">
      <c r="B29" s="64" t="s">
        <v>654</v>
      </c>
      <c r="C29" s="273">
        <f>SUM(C19:C24)</f>
        <v>5377.0006709999998</v>
      </c>
      <c r="D29" s="273"/>
      <c r="E29" s="273"/>
      <c r="F29" s="487">
        <f>SUM(F19:F24)</f>
        <v>-4.965999999996118E-2</v>
      </c>
      <c r="G29" s="487">
        <f>SUM(G19:G24)</f>
        <v>-37.101607000000058</v>
      </c>
      <c r="H29" s="487">
        <f>SUM(H19:H24)</f>
        <v>-0.94947800000000016</v>
      </c>
      <c r="I29" s="487">
        <f>SUM(I19:I24)</f>
        <v>-249.942725</v>
      </c>
      <c r="J29" s="266">
        <f>SUM(C29:I29)</f>
        <v>5088.9572010000002</v>
      </c>
    </row>
    <row r="30" spans="2:10" ht="17.25" customHeight="1" x14ac:dyDescent="0.2">
      <c r="B30" s="191"/>
      <c r="C30" s="274"/>
      <c r="D30" s="274"/>
      <c r="E30" s="274"/>
      <c r="F30" s="274"/>
      <c r="G30" s="274"/>
      <c r="H30" s="274"/>
      <c r="I30" s="274"/>
      <c r="J30" s="268"/>
    </row>
    <row r="31" spans="2:10" ht="17.25" customHeight="1" x14ac:dyDescent="0.2">
      <c r="B31" s="53" t="s">
        <v>655</v>
      </c>
      <c r="C31" s="270"/>
      <c r="D31" s="270"/>
      <c r="E31" s="270"/>
      <c r="F31" s="484">
        <v>-249.942725</v>
      </c>
      <c r="G31" s="270"/>
      <c r="H31" s="270"/>
      <c r="I31" s="271">
        <v>249.942725</v>
      </c>
      <c r="J31" s="268"/>
    </row>
    <row r="32" spans="2:10" ht="17.25" customHeight="1" x14ac:dyDescent="0.2">
      <c r="B32" s="53" t="s">
        <v>656</v>
      </c>
      <c r="C32" s="270"/>
      <c r="D32" s="270"/>
      <c r="E32" s="270">
        <v>217.97138899999999</v>
      </c>
      <c r="F32" s="270"/>
      <c r="G32" s="484">
        <v>-2.4955579999999999</v>
      </c>
      <c r="H32" s="484">
        <v>-7.3362999999999998E-2</v>
      </c>
      <c r="I32" s="270"/>
      <c r="J32" s="268">
        <f t="shared" si="0"/>
        <v>215.402468</v>
      </c>
    </row>
    <row r="33" spans="2:10" ht="17.25" customHeight="1" x14ac:dyDescent="0.2">
      <c r="B33" s="53" t="s">
        <v>657</v>
      </c>
      <c r="C33" s="270"/>
      <c r="D33" s="270"/>
      <c r="E33" s="270"/>
      <c r="F33" s="270"/>
      <c r="G33" s="270">
        <v>130.40392600000001</v>
      </c>
      <c r="H33" s="484">
        <v>-0.26782099999999998</v>
      </c>
      <c r="I33" s="270"/>
      <c r="J33" s="268">
        <f t="shared" si="0"/>
        <v>130.13610500000001</v>
      </c>
    </row>
    <row r="34" spans="2:10" ht="17.25" customHeight="1" x14ac:dyDescent="0.2">
      <c r="B34" s="53" t="s">
        <v>658</v>
      </c>
      <c r="C34" s="270"/>
      <c r="D34" s="270"/>
      <c r="E34" s="270"/>
      <c r="F34" s="270"/>
      <c r="G34" s="270"/>
      <c r="H34" s="270"/>
      <c r="I34" s="484">
        <v>-184.24163899999999</v>
      </c>
      <c r="J34" s="485">
        <f t="shared" si="0"/>
        <v>-184.24163899999999</v>
      </c>
    </row>
    <row r="35" spans="2:10" ht="17.25" customHeight="1" x14ac:dyDescent="0.2">
      <c r="B35" s="75" t="s">
        <v>670</v>
      </c>
      <c r="C35" s="275"/>
      <c r="D35" s="275"/>
      <c r="E35" s="275">
        <f>SUM(E31:E34)</f>
        <v>217.97138899999999</v>
      </c>
      <c r="F35" s="488">
        <f>SUM(F31:F34)</f>
        <v>-249.942725</v>
      </c>
      <c r="G35" s="275">
        <f>SUM(G31:G34)</f>
        <v>127.90836800000001</v>
      </c>
      <c r="H35" s="275">
        <f>SUM(H31:H34)</f>
        <v>-0.34118399999999999</v>
      </c>
      <c r="I35" s="275">
        <f>SUM(I31:I34)</f>
        <v>65.701086000000004</v>
      </c>
      <c r="J35" s="268">
        <f t="shared" si="0"/>
        <v>161.29693400000002</v>
      </c>
    </row>
    <row r="36" spans="2:10" ht="17.25" customHeight="1" x14ac:dyDescent="0.2">
      <c r="B36" s="74" t="s">
        <v>664</v>
      </c>
      <c r="C36" s="270"/>
      <c r="D36" s="270"/>
      <c r="E36" s="270"/>
      <c r="F36" s="270"/>
      <c r="G36" s="270"/>
      <c r="H36" s="484">
        <v>-0.34118399999999999</v>
      </c>
      <c r="I36" s="484">
        <v>-184.24163899999999</v>
      </c>
      <c r="J36" s="485">
        <f t="shared" si="0"/>
        <v>-184.58282299999999</v>
      </c>
    </row>
    <row r="37" spans="2:10" ht="17.25" customHeight="1" thickBot="1" x14ac:dyDescent="0.25">
      <c r="B37" s="74"/>
      <c r="C37" s="270"/>
      <c r="D37" s="270"/>
      <c r="E37" s="270"/>
      <c r="F37" s="270"/>
      <c r="G37" s="270"/>
      <c r="H37" s="270"/>
      <c r="I37" s="270"/>
      <c r="J37" s="268"/>
    </row>
    <row r="38" spans="2:10" ht="17.25" customHeight="1" thickBot="1" x14ac:dyDescent="0.25">
      <c r="B38" s="64" t="s">
        <v>659</v>
      </c>
      <c r="C38" s="273">
        <f>C29+C35</f>
        <v>5377.0006709999998</v>
      </c>
      <c r="D38" s="273"/>
      <c r="E38" s="273">
        <f>E29+E35</f>
        <v>217.97138899999999</v>
      </c>
      <c r="F38" s="487">
        <f>F29+F35</f>
        <v>-249.99238499999996</v>
      </c>
      <c r="G38" s="273">
        <f>G29+G35</f>
        <v>90.806760999999952</v>
      </c>
      <c r="H38" s="487">
        <f>H29+H35</f>
        <v>-1.2906620000000002</v>
      </c>
      <c r="I38" s="487">
        <f>I29+I35</f>
        <v>-184.24163899999999</v>
      </c>
      <c r="J38" s="266">
        <f>SUM(C38:I38)</f>
        <v>5250.2541350000001</v>
      </c>
    </row>
    <row r="39" spans="2:10" ht="17.25" customHeight="1" x14ac:dyDescent="0.2">
      <c r="B39" s="191"/>
      <c r="C39" s="274"/>
      <c r="D39" s="274"/>
      <c r="E39" s="274"/>
      <c r="F39" s="274"/>
      <c r="G39" s="274"/>
      <c r="H39" s="274"/>
      <c r="I39" s="274"/>
      <c r="J39" s="268"/>
    </row>
    <row r="40" spans="2:10" ht="17.25" customHeight="1" x14ac:dyDescent="0.2">
      <c r="B40" s="53" t="s">
        <v>660</v>
      </c>
      <c r="C40" s="270"/>
      <c r="D40" s="270"/>
      <c r="E40" s="270"/>
      <c r="F40" s="484">
        <v>-4.5050480000000004</v>
      </c>
      <c r="G40" s="270"/>
      <c r="H40" s="270"/>
      <c r="I40" s="270"/>
      <c r="J40" s="485">
        <f t="shared" si="0"/>
        <v>-4.5050480000000004</v>
      </c>
    </row>
    <row r="41" spans="2:10" ht="17.25" customHeight="1" x14ac:dyDescent="0.2">
      <c r="B41" s="75" t="s">
        <v>661</v>
      </c>
      <c r="C41" s="275">
        <f t="shared" ref="C41:H41" si="1">C38+C40</f>
        <v>5377.0006709999998</v>
      </c>
      <c r="D41" s="275"/>
      <c r="E41" s="275">
        <f t="shared" si="1"/>
        <v>217.97138899999999</v>
      </c>
      <c r="F41" s="488">
        <f>F38+F40</f>
        <v>-254.49743299999994</v>
      </c>
      <c r="G41" s="275">
        <f t="shared" si="1"/>
        <v>90.806760999999952</v>
      </c>
      <c r="H41" s="488">
        <f t="shared" si="1"/>
        <v>-1.2906620000000002</v>
      </c>
      <c r="I41" s="488">
        <f>I38+I40</f>
        <v>-184.24163899999999</v>
      </c>
      <c r="J41" s="268">
        <f t="shared" si="0"/>
        <v>5245.7490870000001</v>
      </c>
    </row>
    <row r="42" spans="2:10" ht="17.25" customHeight="1" x14ac:dyDescent="0.2">
      <c r="B42" s="53" t="s">
        <v>666</v>
      </c>
      <c r="C42" s="270"/>
      <c r="D42" s="270"/>
      <c r="E42" s="271"/>
      <c r="F42" s="484">
        <v>-184.24163899999999</v>
      </c>
      <c r="G42" s="271"/>
      <c r="H42" s="270"/>
      <c r="I42" s="270">
        <v>184.24163899999999</v>
      </c>
      <c r="J42" s="268"/>
    </row>
    <row r="43" spans="2:10" ht="17.25" customHeight="1" x14ac:dyDescent="0.2">
      <c r="B43" s="53" t="s">
        <v>667</v>
      </c>
      <c r="C43" s="270"/>
      <c r="D43" s="270"/>
      <c r="E43" s="270"/>
      <c r="F43" s="271"/>
      <c r="G43" s="484">
        <v>-59.462175000000002</v>
      </c>
      <c r="H43" s="270">
        <v>0.54707300000000003</v>
      </c>
      <c r="I43" s="270"/>
      <c r="J43" s="485">
        <f t="shared" si="0"/>
        <v>-58.915102000000005</v>
      </c>
    </row>
    <row r="44" spans="2:10" ht="17.25" customHeight="1" x14ac:dyDescent="0.2">
      <c r="B44" s="53" t="s">
        <v>668</v>
      </c>
      <c r="C44" s="270"/>
      <c r="D44" s="270"/>
      <c r="E44" s="270"/>
      <c r="F44" s="270"/>
      <c r="G44" s="270"/>
      <c r="H44" s="270"/>
      <c r="I44" s="270">
        <v>55.159078999999998</v>
      </c>
      <c r="J44" s="268">
        <f t="shared" si="0"/>
        <v>55.159078999999998</v>
      </c>
    </row>
    <row r="45" spans="2:10" ht="17.25" customHeight="1" x14ac:dyDescent="0.2">
      <c r="B45" s="75" t="s">
        <v>671</v>
      </c>
      <c r="C45" s="275"/>
      <c r="D45" s="275"/>
      <c r="E45" s="275"/>
      <c r="F45" s="488">
        <f>SUM(F42:F44)</f>
        <v>-184.24163899999999</v>
      </c>
      <c r="G45" s="488">
        <f>SUM(G42:G44)</f>
        <v>-59.462175000000002</v>
      </c>
      <c r="H45" s="275">
        <f>SUM(H42:H44)</f>
        <v>0.54707300000000003</v>
      </c>
      <c r="I45" s="275">
        <f>SUM(I42:I44)</f>
        <v>239.40071799999998</v>
      </c>
      <c r="J45" s="485">
        <f t="shared" si="0"/>
        <v>-3.756022999999999</v>
      </c>
    </row>
    <row r="46" spans="2:10" ht="17.25" customHeight="1" x14ac:dyDescent="0.2">
      <c r="B46" s="74" t="s">
        <v>672</v>
      </c>
      <c r="C46" s="270"/>
      <c r="D46" s="270"/>
      <c r="E46" s="270"/>
      <c r="F46" s="271"/>
      <c r="G46" s="484">
        <v>-59.462175000000002</v>
      </c>
      <c r="H46" s="270">
        <v>0.54707300000000003</v>
      </c>
      <c r="I46" s="270">
        <v>55.159078999999998</v>
      </c>
      <c r="J46" s="485">
        <f>SUM(C46:I46)</f>
        <v>-3.7560230000000061</v>
      </c>
    </row>
    <row r="47" spans="2:10" ht="17.25" customHeight="1" thickBot="1" x14ac:dyDescent="0.25">
      <c r="B47" s="74"/>
      <c r="C47" s="270"/>
      <c r="D47" s="270"/>
      <c r="E47" s="270"/>
      <c r="F47" s="271"/>
      <c r="G47" s="270"/>
      <c r="H47" s="270"/>
      <c r="I47" s="270"/>
      <c r="J47" s="268"/>
    </row>
    <row r="48" spans="2:10" ht="17.25" customHeight="1" thickBot="1" x14ac:dyDescent="0.25">
      <c r="B48" s="64" t="s">
        <v>669</v>
      </c>
      <c r="C48" s="273">
        <f>C41+C45</f>
        <v>5377.0006709999998</v>
      </c>
      <c r="D48" s="273"/>
      <c r="E48" s="273">
        <f>E41+E45</f>
        <v>217.97138899999999</v>
      </c>
      <c r="F48" s="487">
        <f>F41+F45</f>
        <v>-438.73907199999996</v>
      </c>
      <c r="G48" s="273">
        <f>G41+G45</f>
        <v>31.34458599999995</v>
      </c>
      <c r="H48" s="487">
        <f>H41+H45</f>
        <v>-0.74358900000000017</v>
      </c>
      <c r="I48" s="273">
        <f>I41+I45</f>
        <v>55.159078999999991</v>
      </c>
      <c r="J48" s="266">
        <f t="shared" si="0"/>
        <v>5241.9930640000002</v>
      </c>
    </row>
    <row r="49" spans="1:12" x14ac:dyDescent="0.2">
      <c r="C49" s="51"/>
      <c r="D49" s="51"/>
      <c r="E49" s="51"/>
      <c r="F49" s="51"/>
      <c r="G49" s="51"/>
      <c r="H49" s="51"/>
      <c r="I49" s="51"/>
      <c r="J49" s="52"/>
    </row>
    <row r="51" spans="1:12" ht="21" thickBot="1" x14ac:dyDescent="0.35">
      <c r="B51" s="162" t="s">
        <v>707</v>
      </c>
    </row>
    <row r="52" spans="1:12" s="539" customFormat="1" ht="21" customHeight="1" thickBot="1" x14ac:dyDescent="0.3">
      <c r="A52" s="536"/>
      <c r="B52" s="537" t="s">
        <v>1002</v>
      </c>
      <c r="C52" s="538">
        <v>2009</v>
      </c>
      <c r="D52" s="538">
        <v>2010</v>
      </c>
      <c r="E52" s="538">
        <v>2011</v>
      </c>
      <c r="F52" s="538">
        <v>2012</v>
      </c>
      <c r="G52" s="538">
        <v>2013</v>
      </c>
      <c r="H52" s="538">
        <v>2014</v>
      </c>
      <c r="I52" s="538">
        <v>2015</v>
      </c>
      <c r="J52" s="538">
        <v>2016</v>
      </c>
      <c r="K52" s="538">
        <v>2017</v>
      </c>
      <c r="L52" s="538">
        <v>2018</v>
      </c>
    </row>
    <row r="53" spans="1:12" x14ac:dyDescent="0.2">
      <c r="B53" s="15"/>
      <c r="C53" s="15"/>
      <c r="D53" s="15"/>
      <c r="E53" s="15"/>
      <c r="F53" s="15"/>
      <c r="G53" s="15"/>
      <c r="H53" s="15"/>
      <c r="I53" s="15"/>
      <c r="J53" s="15"/>
      <c r="K53" s="15"/>
      <c r="L53" s="15"/>
    </row>
    <row r="54" spans="1:12" x14ac:dyDescent="0.2">
      <c r="B54" s="50" t="s">
        <v>708</v>
      </c>
      <c r="C54" s="50">
        <v>4.2500000000000003E-2</v>
      </c>
      <c r="D54" s="56" t="s">
        <v>711</v>
      </c>
      <c r="E54" s="56" t="s">
        <v>711</v>
      </c>
      <c r="F54" s="56" t="s">
        <v>711</v>
      </c>
      <c r="G54" s="56" t="s">
        <v>711</v>
      </c>
      <c r="H54" s="56" t="s">
        <v>711</v>
      </c>
      <c r="I54" s="56" t="s">
        <v>711</v>
      </c>
      <c r="J54" s="56" t="s">
        <v>711</v>
      </c>
      <c r="K54" s="56" t="s">
        <v>711</v>
      </c>
      <c r="L54" s="56" t="s">
        <v>711</v>
      </c>
    </row>
    <row r="55" spans="1:12" x14ac:dyDescent="0.2">
      <c r="B55" s="50" t="s">
        <v>709</v>
      </c>
      <c r="C55" s="50">
        <v>7.2499999999999995E-2</v>
      </c>
      <c r="D55" s="56" t="s">
        <v>711</v>
      </c>
      <c r="E55" s="56" t="s">
        <v>711</v>
      </c>
      <c r="F55" s="50">
        <v>0.15</v>
      </c>
      <c r="G55" s="50">
        <v>0.05</v>
      </c>
      <c r="H55" s="56" t="s">
        <v>711</v>
      </c>
      <c r="I55" s="56" t="s">
        <v>711</v>
      </c>
      <c r="J55" s="56" t="s">
        <v>711</v>
      </c>
      <c r="K55" s="56" t="s">
        <v>711</v>
      </c>
      <c r="L55" s="56" t="s">
        <v>711</v>
      </c>
    </row>
    <row r="56" spans="1:12" ht="15" thickBot="1" x14ac:dyDescent="0.25">
      <c r="B56" s="50"/>
      <c r="D56" s="56"/>
      <c r="E56" s="56"/>
      <c r="H56" s="56"/>
      <c r="I56" s="56"/>
      <c r="J56" s="56"/>
      <c r="K56" s="56"/>
      <c r="L56" s="56"/>
    </row>
    <row r="57" spans="1:12" ht="15" thickBot="1" x14ac:dyDescent="0.25">
      <c r="B57" s="72" t="s">
        <v>710</v>
      </c>
      <c r="C57" s="72">
        <v>228</v>
      </c>
      <c r="D57" s="276" t="s">
        <v>711</v>
      </c>
      <c r="E57" s="276" t="s">
        <v>711</v>
      </c>
      <c r="F57" s="72">
        <v>16.5</v>
      </c>
      <c r="G57" s="72">
        <v>62.5</v>
      </c>
      <c r="H57" s="276" t="s">
        <v>711</v>
      </c>
      <c r="I57" s="276" t="s">
        <v>711</v>
      </c>
      <c r="J57" s="276" t="s">
        <v>711</v>
      </c>
      <c r="K57" s="276" t="s">
        <v>711</v>
      </c>
      <c r="L57" s="276" t="s">
        <v>711</v>
      </c>
    </row>
    <row r="58" spans="1:12" x14ac:dyDescent="0.2">
      <c r="B58" s="15"/>
      <c r="C58" s="15"/>
      <c r="D58" s="15"/>
      <c r="E58" s="15"/>
      <c r="F58" s="15"/>
      <c r="G58" s="15"/>
      <c r="H58" s="15"/>
      <c r="I58" s="15"/>
      <c r="J58" s="15"/>
      <c r="K58" s="15"/>
      <c r="L58" s="15"/>
    </row>
  </sheetData>
  <mergeCells count="1">
    <mergeCell ref="G8:H8"/>
  </mergeCells>
  <pageMargins left="0.7" right="0.7" top="0.75" bottom="0.75" header="0.3" footer="0.3"/>
  <pageSetup paperSize="9" scale="41"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04EE9-9E69-44DA-A4F2-4D2205E9DA19}">
  <sheetPr codeName="Foglio2">
    <tabColor theme="5"/>
  </sheetPr>
  <dimension ref="A1:W29"/>
  <sheetViews>
    <sheetView showGridLines="0" topLeftCell="A55" zoomScaleNormal="100" workbookViewId="0">
      <selection activeCell="Z23" sqref="Z23"/>
    </sheetView>
  </sheetViews>
  <sheetFormatPr defaultColWidth="9.140625" defaultRowHeight="14.25" x14ac:dyDescent="0.2"/>
  <cols>
    <col min="1" max="2" width="9.140625" style="35"/>
    <col min="3" max="4" width="9.42578125" style="35" customWidth="1"/>
    <col min="5" max="10" width="9.140625" style="35"/>
    <col min="11" max="11" width="12.28515625" style="35" customWidth="1"/>
    <col min="12" max="13" width="9.140625" style="39"/>
    <col min="14" max="14" width="9.140625" style="35"/>
    <col min="15" max="23" width="9.140625" style="39"/>
    <col min="24" max="16384" width="9.140625" style="35"/>
  </cols>
  <sheetData>
    <row r="1" spans="1:23" ht="15.75" x14ac:dyDescent="0.25">
      <c r="A1" s="34"/>
      <c r="H1" s="36"/>
      <c r="I1" s="37"/>
      <c r="J1" s="38"/>
      <c r="K1" s="34"/>
      <c r="M1" s="34"/>
      <c r="O1" s="35"/>
      <c r="P1" s="35"/>
      <c r="Q1" s="35"/>
      <c r="R1" s="35"/>
      <c r="S1" s="35"/>
      <c r="T1" s="35"/>
      <c r="U1" s="35"/>
      <c r="V1" s="35"/>
      <c r="W1" s="35"/>
    </row>
    <row r="2" spans="1:23" ht="15" x14ac:dyDescent="0.25">
      <c r="A2" s="34"/>
      <c r="O2" s="35"/>
      <c r="P2" s="35"/>
      <c r="Q2" s="35"/>
      <c r="R2" s="35"/>
      <c r="S2" s="35"/>
      <c r="T2" s="35"/>
      <c r="U2" s="35"/>
      <c r="V2" s="35"/>
      <c r="W2" s="35"/>
    </row>
    <row r="24" spans="12:23" ht="15" x14ac:dyDescent="0.25">
      <c r="L24" s="40"/>
      <c r="M24" s="40"/>
      <c r="O24" s="35"/>
      <c r="P24" s="35"/>
      <c r="Q24" s="35"/>
      <c r="R24" s="35"/>
      <c r="S24" s="35"/>
      <c r="T24" s="35"/>
      <c r="U24" s="35"/>
      <c r="V24" s="35"/>
      <c r="W24" s="35"/>
    </row>
    <row r="29" spans="12:23" ht="15" x14ac:dyDescent="0.25">
      <c r="M29" s="34"/>
      <c r="O29" s="35"/>
      <c r="P29" s="35"/>
      <c r="Q29" s="35"/>
      <c r="R29" s="35"/>
      <c r="S29" s="35"/>
      <c r="T29" s="35"/>
      <c r="U29" s="35"/>
      <c r="V29" s="35"/>
      <c r="W29" s="35"/>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Drop Down 8">
              <controlPr defaultSize="0" autoLine="0" autoPict="0">
                <anchor>
                  <from>
                    <xdr:col>10</xdr:col>
                    <xdr:colOff>28575</xdr:colOff>
                    <xdr:row>16</xdr:row>
                    <xdr:rowOff>66675</xdr:rowOff>
                  </from>
                  <to>
                    <xdr:col>11</xdr:col>
                    <xdr:colOff>352425</xdr:colOff>
                    <xdr:row>18</xdr:row>
                    <xdr:rowOff>19050</xdr:rowOff>
                  </to>
                </anchor>
              </controlPr>
            </control>
          </mc:Choice>
        </mc:AlternateContent>
      </controls>
    </mc:Choice>
  </mc:AlternateContent>
  <extLst>
    <ext xmlns:x14="http://schemas.microsoft.com/office/spreadsheetml/2009/9/main" uri="{A8765BA9-456A-4dab-B4F3-ACF838C121DE}">
      <x14:slicerList>
        <x14:slicer r:id="rId5"/>
      </x14:slicerList>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AD50B-73C3-4C4B-9A41-C0EBAC681EBF}">
  <sheetPr>
    <tabColor theme="8"/>
  </sheetPr>
  <dimension ref="B7:M62"/>
  <sheetViews>
    <sheetView showGridLines="0" zoomScaleNormal="100" workbookViewId="0">
      <selection activeCell="L29" sqref="L29"/>
    </sheetView>
  </sheetViews>
  <sheetFormatPr defaultColWidth="9.140625" defaultRowHeight="14.25" x14ac:dyDescent="0.2"/>
  <cols>
    <col min="1" max="1" width="5.7109375" style="13" customWidth="1"/>
    <col min="2" max="2" width="57.28515625" style="13" customWidth="1"/>
    <col min="3" max="4" width="11.140625" style="13" customWidth="1"/>
    <col min="5" max="7" width="9.140625" style="13"/>
    <col min="8" max="8" width="57.28515625" style="13" customWidth="1"/>
    <col min="9" max="10" width="11.140625" style="13" customWidth="1"/>
    <col min="11" max="16384" width="9.140625" style="13"/>
  </cols>
  <sheetData>
    <row r="7" spans="2:10" ht="20.25" x14ac:dyDescent="0.3">
      <c r="B7" s="543" t="s">
        <v>1039</v>
      </c>
    </row>
    <row r="9" spans="2:10" ht="15.75" thickBot="1" x14ac:dyDescent="0.3">
      <c r="B9" s="279" t="s">
        <v>635</v>
      </c>
      <c r="C9" s="280" t="s">
        <v>118</v>
      </c>
      <c r="D9" s="280" t="s">
        <v>108</v>
      </c>
      <c r="H9" s="279" t="s">
        <v>637</v>
      </c>
      <c r="I9" s="280" t="s">
        <v>118</v>
      </c>
      <c r="J9" s="280" t="s">
        <v>108</v>
      </c>
    </row>
    <row r="10" spans="2:10" ht="15" x14ac:dyDescent="0.25">
      <c r="B10" s="277"/>
      <c r="C10" s="278"/>
      <c r="D10" s="278"/>
      <c r="H10" s="277"/>
      <c r="I10" s="278"/>
      <c r="J10" s="278"/>
    </row>
    <row r="11" spans="2:10" x14ac:dyDescent="0.2">
      <c r="B11" s="281" t="s">
        <v>87</v>
      </c>
      <c r="C11" s="285">
        <f>'Plants-Thermo'!L29</f>
        <v>4471.9991699999991</v>
      </c>
      <c r="D11" s="285">
        <f>'Plants-Thermo'!B29</f>
        <v>14</v>
      </c>
      <c r="H11" s="281" t="s">
        <v>1009</v>
      </c>
      <c r="I11" s="285">
        <f>'Plants-Thermo'!L37</f>
        <v>415.89265999999998</v>
      </c>
      <c r="J11" s="285">
        <f>'Plants-Thermo'!B37</f>
        <v>3</v>
      </c>
    </row>
    <row r="12" spans="2:10" x14ac:dyDescent="0.2">
      <c r="B12" s="281" t="s">
        <v>88</v>
      </c>
      <c r="C12" s="285">
        <f>'Plants-Hydro '!K104</f>
        <v>1012.2302717630224</v>
      </c>
      <c r="D12" s="285">
        <f>'Plants-Hydro '!B104</f>
        <v>91</v>
      </c>
      <c r="H12" s="281" t="s">
        <v>1010</v>
      </c>
      <c r="I12" s="285">
        <f>'Plants-Hydro '!K106</f>
        <v>125.2</v>
      </c>
      <c r="J12" s="285">
        <f>'Plants-Hydro '!B106</f>
        <v>3</v>
      </c>
    </row>
    <row r="13" spans="2:10" x14ac:dyDescent="0.2">
      <c r="B13" s="281" t="s">
        <v>334</v>
      </c>
      <c r="C13" s="285">
        <f>'Plants-RES'!I53</f>
        <v>706.48000000000013</v>
      </c>
      <c r="D13" s="285">
        <f>'Plants-RES'!B53</f>
        <v>38</v>
      </c>
      <c r="H13" s="281"/>
      <c r="I13" s="285"/>
      <c r="J13" s="285"/>
    </row>
    <row r="14" spans="2:10" x14ac:dyDescent="0.2">
      <c r="B14" s="281" t="s">
        <v>454</v>
      </c>
      <c r="C14" s="285">
        <f>SUM('Plants-RES'!I57:I63)</f>
        <v>10.025000000000002</v>
      </c>
      <c r="D14" s="285">
        <f>SUM('Plants-RES'!B57:B63)</f>
        <v>7</v>
      </c>
    </row>
    <row r="15" spans="2:10" x14ac:dyDescent="0.2">
      <c r="B15" s="281"/>
      <c r="C15" s="285"/>
      <c r="D15" s="285"/>
      <c r="H15" s="281"/>
      <c r="I15" s="285"/>
      <c r="J15" s="285"/>
    </row>
    <row r="16" spans="2:10" ht="15" thickBot="1" x14ac:dyDescent="0.25">
      <c r="B16" s="281"/>
      <c r="C16" s="285"/>
      <c r="D16" s="285"/>
      <c r="H16" s="281"/>
      <c r="I16" s="285"/>
      <c r="J16" s="285"/>
    </row>
    <row r="17" spans="2:10" ht="15" thickBot="1" x14ac:dyDescent="0.25">
      <c r="B17" s="81" t="s">
        <v>636</v>
      </c>
      <c r="C17" s="286">
        <f>SUM(C11:C15)</f>
        <v>6200.734441763022</v>
      </c>
      <c r="D17" s="286">
        <f>SUM(D11:D15)</f>
        <v>150</v>
      </c>
      <c r="H17" s="81" t="s">
        <v>638</v>
      </c>
      <c r="I17" s="286">
        <f>SUM(I11:I12)</f>
        <v>541.09266000000002</v>
      </c>
      <c r="J17" s="286">
        <f>SUM(J11:J12)</f>
        <v>6</v>
      </c>
    </row>
    <row r="18" spans="2:10" x14ac:dyDescent="0.2">
      <c r="B18" s="14"/>
      <c r="C18" s="14"/>
      <c r="D18" s="14"/>
      <c r="H18" s="14"/>
      <c r="I18" s="14"/>
      <c r="J18" s="14"/>
    </row>
    <row r="19" spans="2:10" x14ac:dyDescent="0.2">
      <c r="B19" s="14"/>
      <c r="C19" s="14"/>
      <c r="D19" s="14"/>
      <c r="H19" s="14"/>
      <c r="I19" s="14"/>
      <c r="J19" s="14"/>
    </row>
    <row r="20" spans="2:10" x14ac:dyDescent="0.2">
      <c r="B20" s="14"/>
      <c r="C20" s="14"/>
      <c r="D20" s="14"/>
      <c r="H20" s="14"/>
      <c r="I20" s="14"/>
      <c r="J20" s="14"/>
    </row>
    <row r="21" spans="2:10" ht="15.75" thickBot="1" x14ac:dyDescent="0.3">
      <c r="B21" s="279" t="s">
        <v>639</v>
      </c>
      <c r="C21" s="280" t="s">
        <v>118</v>
      </c>
      <c r="D21" s="280" t="s">
        <v>108</v>
      </c>
      <c r="H21" s="279" t="s">
        <v>640</v>
      </c>
      <c r="I21" s="280" t="s">
        <v>118</v>
      </c>
      <c r="J21" s="280" t="s">
        <v>108</v>
      </c>
    </row>
    <row r="22" spans="2:10" ht="15" x14ac:dyDescent="0.25">
      <c r="B22" s="277"/>
      <c r="C22" s="278"/>
      <c r="D22" s="278"/>
      <c r="H22" s="277"/>
      <c r="I22" s="278"/>
      <c r="J22" s="278"/>
    </row>
    <row r="23" spans="2:10" x14ac:dyDescent="0.2">
      <c r="B23" s="281" t="s">
        <v>87</v>
      </c>
      <c r="C23" s="285">
        <f>'Plants-E.Efficiency'!H72</f>
        <v>163.48699999999999</v>
      </c>
      <c r="D23" s="285">
        <f>'Plants-E.Efficiency'!I72</f>
        <v>17</v>
      </c>
      <c r="H23" s="281" t="s">
        <v>641</v>
      </c>
      <c r="I23" s="285">
        <f>'Plants-E.Efficiency'!H73</f>
        <v>5.6419999999999995</v>
      </c>
      <c r="J23" s="285">
        <f>'Plants-E.Efficiency'!I73</f>
        <v>2</v>
      </c>
    </row>
    <row r="24" spans="2:10" x14ac:dyDescent="0.2">
      <c r="B24" s="281" t="s">
        <v>88</v>
      </c>
      <c r="C24" s="285">
        <f>'Plants-E.Efficiency'!H75</f>
        <v>1.5</v>
      </c>
      <c r="D24" s="285">
        <f>'Plants-E.Efficiency'!I75</f>
        <v>1</v>
      </c>
      <c r="H24" s="281" t="s">
        <v>642</v>
      </c>
      <c r="I24" s="285">
        <f>'Plants-E.Efficiency'!H78</f>
        <v>0.1</v>
      </c>
      <c r="J24" s="285">
        <f>'Plants-E.Efficiency'!I78</f>
        <v>1</v>
      </c>
    </row>
    <row r="25" spans="2:10" x14ac:dyDescent="0.2">
      <c r="B25" s="281" t="s">
        <v>454</v>
      </c>
      <c r="C25" s="285">
        <f>'Plants-E.Efficiency'!H77</f>
        <v>3.18825</v>
      </c>
      <c r="D25" s="285">
        <f>'Plants-E.Efficiency'!I77</f>
        <v>3</v>
      </c>
      <c r="H25" s="281" t="s">
        <v>461</v>
      </c>
      <c r="I25" s="285">
        <f>'Plants-E.Efficiency'!H74</f>
        <v>12</v>
      </c>
      <c r="J25" s="285">
        <f>'Plants-E.Efficiency'!I74</f>
        <v>1</v>
      </c>
    </row>
    <row r="26" spans="2:10" ht="15" thickBot="1" x14ac:dyDescent="0.25">
      <c r="B26" s="281"/>
      <c r="C26" s="285"/>
      <c r="D26" s="285"/>
      <c r="H26" s="281"/>
      <c r="I26" s="285"/>
      <c r="J26" s="285"/>
    </row>
    <row r="27" spans="2:10" ht="15" thickBot="1" x14ac:dyDescent="0.25">
      <c r="B27" s="81" t="s">
        <v>636</v>
      </c>
      <c r="C27" s="286">
        <f>SUM(C23:C25)</f>
        <v>168.17525000000001</v>
      </c>
      <c r="D27" s="286">
        <f>SUM(D23:D25)</f>
        <v>21</v>
      </c>
      <c r="H27" s="81" t="s">
        <v>636</v>
      </c>
      <c r="I27" s="286">
        <f>SUM(I23:I25)</f>
        <v>17.741999999999997</v>
      </c>
      <c r="J27" s="286">
        <f>SUM(J23:J25)</f>
        <v>4</v>
      </c>
    </row>
    <row r="28" spans="2:10" x14ac:dyDescent="0.2">
      <c r="B28" s="14"/>
      <c r="C28" s="14"/>
      <c r="D28" s="14"/>
      <c r="H28" s="14"/>
      <c r="I28" s="14"/>
      <c r="J28" s="14"/>
    </row>
    <row r="31" spans="2:10" ht="20.25" x14ac:dyDescent="0.3">
      <c r="B31" s="543" t="s">
        <v>1004</v>
      </c>
    </row>
    <row r="33" spans="2:7" ht="21" thickBot="1" x14ac:dyDescent="0.35">
      <c r="B33" s="544" t="s">
        <v>1005</v>
      </c>
    </row>
    <row r="34" spans="2:7" ht="26.25" thickBot="1" x14ac:dyDescent="0.25">
      <c r="B34" s="114" t="s">
        <v>1044</v>
      </c>
      <c r="C34" s="163">
        <v>2015</v>
      </c>
      <c r="D34" s="163">
        <v>2016</v>
      </c>
      <c r="E34" s="163">
        <v>2017</v>
      </c>
      <c r="F34" s="163">
        <v>2018</v>
      </c>
      <c r="G34" s="163" t="s">
        <v>1038</v>
      </c>
    </row>
    <row r="35" spans="2:7" x14ac:dyDescent="0.2">
      <c r="B35" s="141"/>
      <c r="C35" s="545"/>
      <c r="D35" s="545"/>
      <c r="E35" s="545"/>
      <c r="F35" s="545"/>
      <c r="G35" s="545"/>
    </row>
    <row r="36" spans="2:7" x14ac:dyDescent="0.2">
      <c r="B36" s="281" t="s">
        <v>1006</v>
      </c>
      <c r="C36" s="285">
        <v>5123</v>
      </c>
      <c r="D36" s="285">
        <v>4735</v>
      </c>
      <c r="E36" s="285">
        <v>4621.0070099999994</v>
      </c>
      <c r="F36" s="285">
        <v>4451.0870099999993</v>
      </c>
      <c r="G36" s="285">
        <f>+C11</f>
        <v>4471.9991699999991</v>
      </c>
    </row>
    <row r="37" spans="2:7" x14ac:dyDescent="0.2">
      <c r="B37" s="281" t="s">
        <v>1007</v>
      </c>
      <c r="C37" s="285">
        <f>1316-C50</f>
        <v>1190.8</v>
      </c>
      <c r="D37" s="285">
        <f>+D38+D40</f>
        <v>994.71555676302194</v>
      </c>
      <c r="E37" s="285">
        <v>1132.2927567630222</v>
      </c>
      <c r="F37" s="285">
        <v>1012.2302717630221</v>
      </c>
      <c r="G37" s="285">
        <f>+SUM(G38:G40)</f>
        <v>1012.2302717630221</v>
      </c>
    </row>
    <row r="38" spans="2:7" s="549" customFormat="1" x14ac:dyDescent="0.2">
      <c r="B38" s="546" t="s">
        <v>1014</v>
      </c>
      <c r="C38" s="547"/>
      <c r="D38" s="548">
        <f>1067-D50</f>
        <v>941.8</v>
      </c>
      <c r="E38" s="548">
        <f>1067.33-E50</f>
        <v>942.12999999999988</v>
      </c>
      <c r="F38" s="548">
        <v>942.13000000000011</v>
      </c>
      <c r="G38" s="548">
        <f>+'Plants-Hydro '!D119</f>
        <v>942.13000000000011</v>
      </c>
    </row>
    <row r="39" spans="2:7" s="549" customFormat="1" x14ac:dyDescent="0.2">
      <c r="B39" s="546" t="s">
        <v>1013</v>
      </c>
      <c r="C39" s="547"/>
      <c r="D39" s="548">
        <v>0</v>
      </c>
      <c r="E39" s="548">
        <v>0</v>
      </c>
      <c r="F39" s="548">
        <v>10.283604938608446</v>
      </c>
      <c r="G39" s="548">
        <f>+'Plants-Hydro '!D118</f>
        <v>10.283604938608446</v>
      </c>
    </row>
    <row r="40" spans="2:7" s="549" customFormat="1" x14ac:dyDescent="0.2">
      <c r="B40" s="546" t="s">
        <v>1015</v>
      </c>
      <c r="C40" s="547"/>
      <c r="D40" s="548">
        <v>52.915556763021961</v>
      </c>
      <c r="E40" s="548">
        <v>64.962756763021972</v>
      </c>
      <c r="F40" s="548">
        <v>59.816666824413524</v>
      </c>
      <c r="G40" s="548">
        <f>+'Plants-Hydro '!D117</f>
        <v>59.816666824413524</v>
      </c>
    </row>
    <row r="41" spans="2:7" x14ac:dyDescent="0.2">
      <c r="B41" s="281" t="s">
        <v>334</v>
      </c>
      <c r="C41" s="285">
        <v>589</v>
      </c>
      <c r="D41" s="285">
        <v>588.88</v>
      </c>
      <c r="E41" s="285">
        <v>588.87999999999988</v>
      </c>
      <c r="F41" s="285">
        <v>656.48</v>
      </c>
      <c r="G41" s="285">
        <f>+C13</f>
        <v>706.48000000000013</v>
      </c>
    </row>
    <row r="42" spans="2:7" x14ac:dyDescent="0.2">
      <c r="B42" s="281" t="s">
        <v>454</v>
      </c>
      <c r="C42" s="285">
        <v>13</v>
      </c>
      <c r="D42" s="285">
        <v>9.3000000000000007</v>
      </c>
      <c r="E42" s="285">
        <v>9.3000000000000007</v>
      </c>
      <c r="F42" s="285">
        <v>10.129000000000001</v>
      </c>
      <c r="G42" s="285">
        <f>+C14</f>
        <v>10.025000000000002</v>
      </c>
    </row>
    <row r="43" spans="2:7" x14ac:dyDescent="0.2">
      <c r="B43" s="281" t="s">
        <v>397</v>
      </c>
      <c r="C43" s="285">
        <v>6</v>
      </c>
      <c r="D43" s="285">
        <v>6</v>
      </c>
      <c r="E43" s="285">
        <v>6</v>
      </c>
      <c r="F43" s="285">
        <v>5.2060000000000004</v>
      </c>
      <c r="G43" s="285">
        <v>0</v>
      </c>
    </row>
    <row r="44" spans="2:7" ht="15" thickBot="1" x14ac:dyDescent="0.25">
      <c r="C44" s="285"/>
      <c r="D44" s="285"/>
      <c r="E44" s="285"/>
      <c r="F44" s="285"/>
      <c r="G44" s="285"/>
    </row>
    <row r="45" spans="2:7" ht="15" thickBot="1" x14ac:dyDescent="0.25">
      <c r="B45" s="81" t="s">
        <v>1008</v>
      </c>
      <c r="C45" s="286">
        <f>+C36+C37+C41+C42+C43</f>
        <v>6921.8</v>
      </c>
      <c r="D45" s="286">
        <f>+D36+D37+D41+D42+D43</f>
        <v>6333.8955567630219</v>
      </c>
      <c r="E45" s="286">
        <f>+E36+E37+E41+E42+E43</f>
        <v>6357.4797667630219</v>
      </c>
      <c r="F45" s="286">
        <f>+F36+F37+F41+F42+F43</f>
        <v>6135.1322817630216</v>
      </c>
      <c r="G45" s="286">
        <f>+G36+G37+G41+G42+G43</f>
        <v>6200.7344417630211</v>
      </c>
    </row>
    <row r="46" spans="2:7" x14ac:dyDescent="0.2">
      <c r="D46" s="285"/>
    </row>
    <row r="47" spans="2:7" x14ac:dyDescent="0.2">
      <c r="B47" s="281" t="s">
        <v>1011</v>
      </c>
      <c r="C47" s="285">
        <v>2.4</v>
      </c>
      <c r="D47" s="285">
        <v>2.4</v>
      </c>
      <c r="E47" s="285">
        <v>0</v>
      </c>
      <c r="F47" s="285">
        <v>0</v>
      </c>
      <c r="G47" s="285">
        <v>0</v>
      </c>
    </row>
    <row r="48" spans="2:7" x14ac:dyDescent="0.2">
      <c r="C48" s="285"/>
      <c r="D48" s="285"/>
      <c r="E48" s="285"/>
      <c r="F48" s="285"/>
      <c r="G48" s="285"/>
    </row>
    <row r="49" spans="2:13" x14ac:dyDescent="0.2">
      <c r="B49" s="281" t="s">
        <v>1009</v>
      </c>
      <c r="C49" s="285">
        <v>415.89265999999998</v>
      </c>
      <c r="D49" s="285">
        <v>415.89265999999998</v>
      </c>
      <c r="E49" s="285">
        <v>415.89265999999998</v>
      </c>
      <c r="F49" s="285">
        <v>415.89265999999998</v>
      </c>
      <c r="G49" s="285">
        <f>+I11</f>
        <v>415.89265999999998</v>
      </c>
    </row>
    <row r="50" spans="2:13" x14ac:dyDescent="0.2">
      <c r="B50" s="281" t="s">
        <v>1010</v>
      </c>
      <c r="C50" s="285">
        <v>125.2</v>
      </c>
      <c r="D50" s="285">
        <v>125.2</v>
      </c>
      <c r="E50" s="285">
        <v>125.2</v>
      </c>
      <c r="F50" s="285">
        <v>125.2</v>
      </c>
      <c r="G50" s="285">
        <f>+I12</f>
        <v>125.2</v>
      </c>
    </row>
    <row r="51" spans="2:13" ht="15" thickBot="1" x14ac:dyDescent="0.25">
      <c r="D51" s="285"/>
    </row>
    <row r="52" spans="2:13" ht="15" thickBot="1" x14ac:dyDescent="0.25">
      <c r="B52" s="81" t="s">
        <v>1019</v>
      </c>
      <c r="C52" s="286">
        <f>+C45+C47+C49+C50</f>
        <v>7465.2926600000001</v>
      </c>
      <c r="D52" s="286">
        <f>+D45+D47+D49+D50</f>
        <v>6877.3882167630209</v>
      </c>
      <c r="E52" s="286">
        <f>+E45+E47+E49+E50</f>
        <v>6898.5724267630221</v>
      </c>
      <c r="F52" s="286">
        <f>+F45+F47+F49+F50</f>
        <v>6676.2249417630219</v>
      </c>
      <c r="G52" s="286">
        <f>+G45+G47+G49+G50</f>
        <v>6741.8271017630204</v>
      </c>
    </row>
    <row r="55" spans="2:13" ht="21" thickBot="1" x14ac:dyDescent="0.35">
      <c r="B55" s="544" t="s">
        <v>1017</v>
      </c>
    </row>
    <row r="56" spans="2:13" ht="26.25" thickBot="1" x14ac:dyDescent="0.25">
      <c r="B56" s="114" t="s">
        <v>1045</v>
      </c>
      <c r="C56" s="163">
        <v>2015</v>
      </c>
      <c r="D56" s="163">
        <v>2016</v>
      </c>
      <c r="E56" s="163">
        <v>2017</v>
      </c>
      <c r="F56" s="163">
        <v>2018</v>
      </c>
      <c r="G56" s="163" t="s">
        <v>1038</v>
      </c>
    </row>
    <row r="57" spans="2:13" ht="15" thickBot="1" x14ac:dyDescent="0.25">
      <c r="B57" s="141"/>
      <c r="C57" s="545"/>
      <c r="D57" s="545"/>
      <c r="E57" s="545"/>
      <c r="F57" s="545"/>
      <c r="G57" s="545"/>
    </row>
    <row r="58" spans="2:13" ht="15" thickBot="1" x14ac:dyDescent="0.25">
      <c r="B58" s="81" t="s">
        <v>1018</v>
      </c>
      <c r="C58" s="550"/>
      <c r="D58" s="286">
        <v>275</v>
      </c>
      <c r="E58" s="286">
        <v>213</v>
      </c>
      <c r="F58" s="286">
        <v>184</v>
      </c>
      <c r="G58" s="286">
        <f>+C27+I27</f>
        <v>185.91725</v>
      </c>
    </row>
    <row r="61" spans="2:13" x14ac:dyDescent="0.2">
      <c r="B61" s="598" t="s">
        <v>1012</v>
      </c>
      <c r="C61" s="598"/>
      <c r="D61" s="598"/>
      <c r="E61" s="598"/>
      <c r="F61" s="598"/>
      <c r="G61" s="598"/>
      <c r="H61" s="598"/>
      <c r="I61" s="598"/>
      <c r="J61" s="598"/>
      <c r="K61" s="598"/>
      <c r="L61" s="598"/>
      <c r="M61" s="598"/>
    </row>
    <row r="62" spans="2:13" x14ac:dyDescent="0.2">
      <c r="B62" s="598" t="s">
        <v>1016</v>
      </c>
      <c r="C62" s="598"/>
      <c r="D62" s="598"/>
      <c r="E62" s="598"/>
      <c r="F62" s="598"/>
      <c r="G62" s="598"/>
      <c r="H62" s="598"/>
      <c r="I62" s="598"/>
      <c r="J62" s="598"/>
      <c r="K62" s="598"/>
      <c r="L62" s="598"/>
      <c r="M62" s="598"/>
    </row>
  </sheetData>
  <mergeCells count="2">
    <mergeCell ref="B61:M61"/>
    <mergeCell ref="B62:M62"/>
  </mergeCells>
  <pageMargins left="0.7" right="0.7" top="0.75" bottom="0.75" header="0.3" footer="0.3"/>
  <pageSetup paperSize="9" scale="45" orientation="portrait" r:id="rId1"/>
  <colBreaks count="1" manualBreakCount="1">
    <brk id="11"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10C65-74ED-412D-B006-51A37C207118}">
  <sheetPr codeName="Foglio10">
    <tabColor theme="8"/>
  </sheetPr>
  <dimension ref="A8:N40"/>
  <sheetViews>
    <sheetView showGridLines="0" topLeftCell="A7" zoomScaleNormal="100" workbookViewId="0">
      <selection activeCell="B9" sqref="B9"/>
    </sheetView>
  </sheetViews>
  <sheetFormatPr defaultColWidth="9.140625" defaultRowHeight="14.25" x14ac:dyDescent="0.2"/>
  <cols>
    <col min="1" max="1" width="5.7109375" style="13" customWidth="1"/>
    <col min="2" max="2" width="5.42578125" style="48" customWidth="1"/>
    <col min="3" max="3" width="22.7109375" style="48" customWidth="1"/>
    <col min="4" max="4" width="14.5703125" style="48" customWidth="1"/>
    <col min="5" max="5" width="23.140625" style="48" customWidth="1"/>
    <col min="6" max="6" width="20.7109375" style="48" bestFit="1" customWidth="1"/>
    <col min="7" max="7" width="12.42578125" style="48" bestFit="1" customWidth="1"/>
    <col min="8" max="8" width="11.85546875" style="48" customWidth="1"/>
    <col min="9" max="9" width="13.140625" style="48" customWidth="1"/>
    <col min="10" max="10" width="15.5703125" style="48" customWidth="1"/>
    <col min="11" max="11" width="12.85546875" style="48" customWidth="1"/>
    <col min="12" max="12" width="20.7109375" style="48" bestFit="1" customWidth="1"/>
    <col min="13" max="13" width="16.28515625" style="48" customWidth="1"/>
    <col min="14" max="14" width="14.28515625" style="48" customWidth="1"/>
    <col min="15" max="15" width="15.85546875" style="48" bestFit="1" customWidth="1"/>
    <col min="16" max="17" width="9.140625" style="48"/>
    <col min="18" max="18" width="16.140625" style="48" customWidth="1"/>
    <col min="19" max="16384" width="9.140625" style="48"/>
  </cols>
  <sheetData>
    <row r="8" spans="2:14" ht="15" x14ac:dyDescent="0.25">
      <c r="B8" s="299" t="s">
        <v>782</v>
      </c>
    </row>
    <row r="9" spans="2:14" ht="15" x14ac:dyDescent="0.25">
      <c r="B9" s="88" t="s">
        <v>1038</v>
      </c>
    </row>
    <row r="10" spans="2:14" ht="48" thickBot="1" x14ac:dyDescent="0.3">
      <c r="B10" s="287" t="s">
        <v>783</v>
      </c>
      <c r="C10" s="287" t="s">
        <v>109</v>
      </c>
      <c r="D10" s="287" t="s">
        <v>110</v>
      </c>
      <c r="E10" s="287" t="s">
        <v>111</v>
      </c>
      <c r="F10" s="287" t="s">
        <v>112</v>
      </c>
      <c r="G10" s="287" t="s">
        <v>113</v>
      </c>
      <c r="H10" s="287" t="s">
        <v>283</v>
      </c>
      <c r="I10" s="287" t="s">
        <v>284</v>
      </c>
      <c r="J10" s="288" t="s">
        <v>781</v>
      </c>
      <c r="K10" s="287" t="s">
        <v>285</v>
      </c>
      <c r="L10" s="288" t="s">
        <v>116</v>
      </c>
      <c r="M10" s="288" t="s">
        <v>117</v>
      </c>
      <c r="N10" s="287" t="s">
        <v>286</v>
      </c>
    </row>
    <row r="11" spans="2:14" ht="15.75" x14ac:dyDescent="0.25">
      <c r="B11" s="289"/>
      <c r="C11" s="289"/>
      <c r="D11" s="289"/>
      <c r="E11" s="289"/>
      <c r="F11" s="289"/>
      <c r="G11" s="289"/>
      <c r="H11" s="289"/>
      <c r="I11" s="289"/>
      <c r="J11" s="290"/>
      <c r="K11" s="289"/>
      <c r="L11" s="290"/>
      <c r="M11" s="290"/>
      <c r="N11" s="289"/>
    </row>
    <row r="12" spans="2:14" x14ac:dyDescent="0.2">
      <c r="B12" s="53">
        <v>1</v>
      </c>
      <c r="C12" s="53" t="s">
        <v>287</v>
      </c>
      <c r="D12" s="291" t="s">
        <v>160</v>
      </c>
      <c r="E12" s="291">
        <v>1998</v>
      </c>
      <c r="F12" s="291" t="s">
        <v>288</v>
      </c>
      <c r="G12" s="291" t="s">
        <v>122</v>
      </c>
      <c r="H12" s="291" t="s">
        <v>289</v>
      </c>
      <c r="I12" s="291" t="s">
        <v>290</v>
      </c>
      <c r="J12" s="582">
        <v>49.92</v>
      </c>
      <c r="K12" s="295">
        <v>65</v>
      </c>
      <c r="L12" s="582">
        <v>49.92</v>
      </c>
      <c r="M12" s="291" t="s">
        <v>291</v>
      </c>
      <c r="N12" s="291" t="s">
        <v>292</v>
      </c>
    </row>
    <row r="13" spans="2:14" x14ac:dyDescent="0.2">
      <c r="B13" s="53">
        <v>1</v>
      </c>
      <c r="C13" s="53" t="s">
        <v>293</v>
      </c>
      <c r="D13" s="291" t="s">
        <v>294</v>
      </c>
      <c r="E13" s="291">
        <v>2002</v>
      </c>
      <c r="F13" s="291" t="s">
        <v>295</v>
      </c>
      <c r="G13" s="291" t="s">
        <v>122</v>
      </c>
      <c r="H13" s="291" t="s">
        <v>289</v>
      </c>
      <c r="I13" s="291" t="s">
        <v>290</v>
      </c>
      <c r="J13" s="582">
        <v>145.04</v>
      </c>
      <c r="K13" s="295">
        <v>70</v>
      </c>
      <c r="L13" s="582">
        <v>145.04</v>
      </c>
      <c r="M13" s="291" t="s">
        <v>291</v>
      </c>
      <c r="N13" s="291" t="s">
        <v>292</v>
      </c>
    </row>
    <row r="14" spans="2:14" x14ac:dyDescent="0.2">
      <c r="B14" s="53">
        <v>1</v>
      </c>
      <c r="C14" s="53" t="s">
        <v>296</v>
      </c>
      <c r="D14" s="291" t="s">
        <v>297</v>
      </c>
      <c r="E14" s="291">
        <v>1996</v>
      </c>
      <c r="F14" s="291" t="s">
        <v>136</v>
      </c>
      <c r="G14" s="291" t="s">
        <v>122</v>
      </c>
      <c r="H14" s="291" t="s">
        <v>289</v>
      </c>
      <c r="I14" s="291" t="s">
        <v>290</v>
      </c>
      <c r="J14" s="582">
        <v>132.47900000000001</v>
      </c>
      <c r="K14" s="295">
        <v>100</v>
      </c>
      <c r="L14" s="582">
        <f>J14*K14%</f>
        <v>132.47900000000001</v>
      </c>
      <c r="M14" s="291" t="s">
        <v>291</v>
      </c>
      <c r="N14" s="291" t="s">
        <v>292</v>
      </c>
    </row>
    <row r="15" spans="2:14" x14ac:dyDescent="0.2">
      <c r="B15" s="53">
        <v>1</v>
      </c>
      <c r="C15" s="53" t="s">
        <v>298</v>
      </c>
      <c r="D15" s="291" t="s">
        <v>299</v>
      </c>
      <c r="E15" s="291">
        <v>1996</v>
      </c>
      <c r="F15" s="291" t="s">
        <v>136</v>
      </c>
      <c r="G15" s="291" t="s">
        <v>122</v>
      </c>
      <c r="H15" s="291" t="s">
        <v>289</v>
      </c>
      <c r="I15" s="291" t="s">
        <v>290</v>
      </c>
      <c r="J15" s="582">
        <v>136.77000000000001</v>
      </c>
      <c r="K15" s="295">
        <v>100</v>
      </c>
      <c r="L15" s="582">
        <f>J15*K15%</f>
        <v>136.77000000000001</v>
      </c>
      <c r="M15" s="291" t="s">
        <v>291</v>
      </c>
      <c r="N15" s="291" t="s">
        <v>292</v>
      </c>
    </row>
    <row r="16" spans="2:14" x14ac:dyDescent="0.2">
      <c r="B16" s="53">
        <v>1</v>
      </c>
      <c r="C16" s="53" t="s">
        <v>300</v>
      </c>
      <c r="D16" s="291" t="s">
        <v>301</v>
      </c>
      <c r="E16" s="291" t="s">
        <v>302</v>
      </c>
      <c r="F16" s="291" t="s">
        <v>136</v>
      </c>
      <c r="G16" s="291" t="s">
        <v>122</v>
      </c>
      <c r="H16" s="291" t="s">
        <v>289</v>
      </c>
      <c r="I16" s="291" t="s">
        <v>303</v>
      </c>
      <c r="J16" s="582">
        <v>118.096</v>
      </c>
      <c r="K16" s="295">
        <v>100</v>
      </c>
      <c r="L16" s="582">
        <f>J16*K16%</f>
        <v>118.096</v>
      </c>
      <c r="M16" s="291" t="s">
        <v>291</v>
      </c>
      <c r="N16" s="291"/>
    </row>
    <row r="17" spans="2:14" x14ac:dyDescent="0.2">
      <c r="B17" s="53">
        <v>1</v>
      </c>
      <c r="C17" s="53" t="s">
        <v>304</v>
      </c>
      <c r="D17" s="291" t="s">
        <v>160</v>
      </c>
      <c r="E17" s="291" t="s">
        <v>305</v>
      </c>
      <c r="F17" s="291" t="s">
        <v>136</v>
      </c>
      <c r="G17" s="291" t="s">
        <v>122</v>
      </c>
      <c r="H17" s="291" t="s">
        <v>289</v>
      </c>
      <c r="I17" s="291" t="s">
        <v>290</v>
      </c>
      <c r="J17" s="582">
        <v>51.002400000000002</v>
      </c>
      <c r="K17" s="295">
        <v>100</v>
      </c>
      <c r="L17" s="582">
        <f t="shared" ref="L17:L25" si="0">J17*K17%</f>
        <v>51.002400000000002</v>
      </c>
      <c r="M17" s="291" t="s">
        <v>291</v>
      </c>
      <c r="N17" s="291"/>
    </row>
    <row r="18" spans="2:14" x14ac:dyDescent="0.2">
      <c r="B18" s="53">
        <v>1</v>
      </c>
      <c r="C18" s="53" t="s">
        <v>306</v>
      </c>
      <c r="D18" s="291" t="s">
        <v>307</v>
      </c>
      <c r="E18" s="291" t="s">
        <v>308</v>
      </c>
      <c r="F18" s="291" t="s">
        <v>136</v>
      </c>
      <c r="G18" s="291" t="s">
        <v>122</v>
      </c>
      <c r="H18" s="291" t="s">
        <v>289</v>
      </c>
      <c r="I18" s="291" t="s">
        <v>303</v>
      </c>
      <c r="J18" s="582">
        <v>229.68</v>
      </c>
      <c r="K18" s="295">
        <v>100</v>
      </c>
      <c r="L18" s="582">
        <f t="shared" si="0"/>
        <v>229.68</v>
      </c>
      <c r="M18" s="291" t="s">
        <v>291</v>
      </c>
      <c r="N18" s="291"/>
    </row>
    <row r="19" spans="2:14" x14ac:dyDescent="0.2">
      <c r="B19" s="53">
        <v>1</v>
      </c>
      <c r="C19" s="53" t="s">
        <v>309</v>
      </c>
      <c r="D19" s="291" t="s">
        <v>307</v>
      </c>
      <c r="E19" s="291" t="s">
        <v>310</v>
      </c>
      <c r="F19" s="291" t="s">
        <v>136</v>
      </c>
      <c r="G19" s="291" t="s">
        <v>122</v>
      </c>
      <c r="H19" s="291" t="s">
        <v>289</v>
      </c>
      <c r="I19" s="291" t="s">
        <v>290</v>
      </c>
      <c r="J19" s="582">
        <v>719.31200000000001</v>
      </c>
      <c r="K19" s="295">
        <v>100</v>
      </c>
      <c r="L19" s="582">
        <f t="shared" si="0"/>
        <v>719.31200000000001</v>
      </c>
      <c r="M19" s="291" t="s">
        <v>291</v>
      </c>
      <c r="N19" s="291"/>
    </row>
    <row r="20" spans="2:14" x14ac:dyDescent="0.2">
      <c r="B20" s="53">
        <v>1</v>
      </c>
      <c r="C20" s="53" t="s">
        <v>311</v>
      </c>
      <c r="D20" s="291" t="s">
        <v>173</v>
      </c>
      <c r="E20" s="291">
        <v>2001</v>
      </c>
      <c r="F20" s="291" t="s">
        <v>136</v>
      </c>
      <c r="G20" s="291" t="s">
        <v>122</v>
      </c>
      <c r="H20" s="291" t="s">
        <v>289</v>
      </c>
      <c r="I20" s="291" t="s">
        <v>290</v>
      </c>
      <c r="J20" s="582">
        <v>97.028000000000006</v>
      </c>
      <c r="K20" s="295">
        <v>100</v>
      </c>
      <c r="L20" s="582">
        <f t="shared" si="0"/>
        <v>97.028000000000006</v>
      </c>
      <c r="M20" s="291" t="s">
        <v>291</v>
      </c>
      <c r="N20" s="291"/>
    </row>
    <row r="21" spans="2:14" x14ac:dyDescent="0.2">
      <c r="B21" s="53">
        <v>1</v>
      </c>
      <c r="C21" s="53" t="s">
        <v>312</v>
      </c>
      <c r="D21" s="291" t="s">
        <v>160</v>
      </c>
      <c r="E21" s="291">
        <v>2004</v>
      </c>
      <c r="F21" s="291" t="s">
        <v>136</v>
      </c>
      <c r="G21" s="291" t="s">
        <v>122</v>
      </c>
      <c r="H21" s="291" t="s">
        <v>289</v>
      </c>
      <c r="I21" s="291" t="s">
        <v>290</v>
      </c>
      <c r="J21" s="582">
        <v>52.891500000000001</v>
      </c>
      <c r="K21" s="295">
        <v>100</v>
      </c>
      <c r="L21" s="582">
        <f t="shared" si="0"/>
        <v>52.891500000000001</v>
      </c>
      <c r="M21" s="291" t="s">
        <v>291</v>
      </c>
      <c r="N21" s="291"/>
    </row>
    <row r="22" spans="2:14" x14ac:dyDescent="0.2">
      <c r="B22" s="53">
        <v>1</v>
      </c>
      <c r="C22" s="53" t="s">
        <v>313</v>
      </c>
      <c r="D22" s="291" t="s">
        <v>314</v>
      </c>
      <c r="E22" s="291">
        <v>2005</v>
      </c>
      <c r="F22" s="291" t="s">
        <v>136</v>
      </c>
      <c r="G22" s="291" t="s">
        <v>122</v>
      </c>
      <c r="H22" s="291" t="s">
        <v>289</v>
      </c>
      <c r="I22" s="291" t="s">
        <v>290</v>
      </c>
      <c r="J22" s="582">
        <v>390</v>
      </c>
      <c r="K22" s="295">
        <v>100</v>
      </c>
      <c r="L22" s="582">
        <f t="shared" si="0"/>
        <v>390</v>
      </c>
      <c r="M22" s="291" t="s">
        <v>291</v>
      </c>
      <c r="N22" s="291"/>
    </row>
    <row r="23" spans="2:14" x14ac:dyDescent="0.2">
      <c r="B23" s="53">
        <v>1</v>
      </c>
      <c r="C23" s="53" t="s">
        <v>315</v>
      </c>
      <c r="D23" s="291" t="s">
        <v>316</v>
      </c>
      <c r="E23" s="291">
        <v>2006</v>
      </c>
      <c r="F23" s="291" t="s">
        <v>136</v>
      </c>
      <c r="G23" s="291" t="s">
        <v>122</v>
      </c>
      <c r="H23" s="291" t="s">
        <v>289</v>
      </c>
      <c r="I23" s="291" t="s">
        <v>290</v>
      </c>
      <c r="J23" s="582">
        <v>764.596</v>
      </c>
      <c r="K23" s="295">
        <v>100</v>
      </c>
      <c r="L23" s="582">
        <f t="shared" si="0"/>
        <v>764.596</v>
      </c>
      <c r="M23" s="291" t="s">
        <v>291</v>
      </c>
      <c r="N23" s="291"/>
    </row>
    <row r="24" spans="2:14" x14ac:dyDescent="0.2">
      <c r="B24" s="53">
        <v>1</v>
      </c>
      <c r="C24" s="53" t="s">
        <v>317</v>
      </c>
      <c r="D24" s="291" t="s">
        <v>207</v>
      </c>
      <c r="E24" s="291">
        <v>2006</v>
      </c>
      <c r="F24" s="291" t="s">
        <v>136</v>
      </c>
      <c r="G24" s="291" t="s">
        <v>122</v>
      </c>
      <c r="H24" s="291" t="s">
        <v>289</v>
      </c>
      <c r="I24" s="291" t="s">
        <v>290</v>
      </c>
      <c r="J24" s="582">
        <v>766.90886999999998</v>
      </c>
      <c r="K24" s="295">
        <v>100</v>
      </c>
      <c r="L24" s="582">
        <f t="shared" si="0"/>
        <v>766.90886999999998</v>
      </c>
      <c r="M24" s="291" t="s">
        <v>291</v>
      </c>
      <c r="N24" s="291"/>
    </row>
    <row r="25" spans="2:14" x14ac:dyDescent="0.2">
      <c r="B25" s="53">
        <v>1</v>
      </c>
      <c r="C25" s="53" t="s">
        <v>318</v>
      </c>
      <c r="D25" s="291" t="s">
        <v>319</v>
      </c>
      <c r="E25" s="291">
        <v>2007</v>
      </c>
      <c r="F25" s="291" t="s">
        <v>136</v>
      </c>
      <c r="G25" s="291" t="s">
        <v>122</v>
      </c>
      <c r="H25" s="291" t="s">
        <v>289</v>
      </c>
      <c r="I25" s="291" t="s">
        <v>290</v>
      </c>
      <c r="J25" s="582">
        <v>818.27539999999999</v>
      </c>
      <c r="K25" s="295">
        <v>100</v>
      </c>
      <c r="L25" s="582">
        <f t="shared" si="0"/>
        <v>818.27539999999999</v>
      </c>
      <c r="M25" s="291" t="s">
        <v>291</v>
      </c>
      <c r="N25" s="291"/>
    </row>
    <row r="26" spans="2:14" ht="15" thickBot="1" x14ac:dyDescent="0.25">
      <c r="B26" s="53"/>
      <c r="C26" s="53"/>
      <c r="D26" s="291"/>
      <c r="E26" s="291"/>
      <c r="F26" s="291"/>
      <c r="G26" s="291"/>
      <c r="H26" s="291"/>
      <c r="I26" s="291"/>
      <c r="J26" s="583"/>
      <c r="K26" s="291"/>
      <c r="L26" s="583"/>
      <c r="M26" s="291"/>
      <c r="N26" s="291"/>
    </row>
    <row r="27" spans="2:14" ht="15" thickBot="1" x14ac:dyDescent="0.25">
      <c r="B27" s="72">
        <f>SUM(B12:B25)</f>
        <v>14</v>
      </c>
      <c r="C27" s="72" t="s">
        <v>275</v>
      </c>
      <c r="D27" s="276"/>
      <c r="E27" s="276"/>
      <c r="F27" s="276"/>
      <c r="G27" s="276"/>
      <c r="H27" s="276"/>
      <c r="I27" s="276"/>
      <c r="J27" s="584">
        <f>SUM(J12:J25)</f>
        <v>4471.9991699999991</v>
      </c>
      <c r="K27" s="296"/>
      <c r="L27" s="587">
        <f>SUM(L12:L25)</f>
        <v>4471.9991699999991</v>
      </c>
      <c r="M27" s="276"/>
      <c r="N27" s="276"/>
    </row>
    <row r="28" spans="2:14" ht="15" thickBot="1" x14ac:dyDescent="0.25">
      <c r="D28" s="292"/>
      <c r="E28" s="292"/>
      <c r="F28" s="292"/>
      <c r="G28" s="292"/>
      <c r="H28" s="292"/>
      <c r="I28" s="292"/>
      <c r="J28" s="585"/>
      <c r="K28" s="297"/>
      <c r="L28" s="585"/>
      <c r="M28" s="292"/>
      <c r="N28" s="292"/>
    </row>
    <row r="29" spans="2:14" ht="15.75" thickBot="1" x14ac:dyDescent="0.3">
      <c r="B29" s="293">
        <f>B27</f>
        <v>14</v>
      </c>
      <c r="C29" s="293" t="s">
        <v>320</v>
      </c>
      <c r="D29" s="294"/>
      <c r="E29" s="294"/>
      <c r="F29" s="294"/>
      <c r="G29" s="294"/>
      <c r="H29" s="294"/>
      <c r="I29" s="294"/>
      <c r="J29" s="586">
        <f>J27</f>
        <v>4471.9991699999991</v>
      </c>
      <c r="K29" s="298"/>
      <c r="L29" s="588">
        <f>L27</f>
        <v>4471.9991699999991</v>
      </c>
      <c r="M29" s="294"/>
      <c r="N29" s="294"/>
    </row>
    <row r="30" spans="2:14" x14ac:dyDescent="0.2">
      <c r="D30" s="292"/>
      <c r="E30" s="292"/>
      <c r="F30" s="292"/>
      <c r="G30" s="292"/>
      <c r="H30" s="292"/>
      <c r="I30" s="292"/>
      <c r="J30" s="292"/>
      <c r="K30" s="292"/>
      <c r="L30" s="292"/>
      <c r="M30" s="292"/>
      <c r="N30" s="292"/>
    </row>
    <row r="31" spans="2:14" ht="17.25" x14ac:dyDescent="0.25">
      <c r="B31" s="88" t="s">
        <v>892</v>
      </c>
      <c r="D31" s="292"/>
      <c r="E31" s="292"/>
      <c r="F31" s="292"/>
      <c r="G31" s="292"/>
      <c r="H31" s="292"/>
      <c r="I31" s="292"/>
      <c r="J31" s="292"/>
      <c r="K31" s="292"/>
      <c r="L31" s="292"/>
      <c r="M31" s="292"/>
      <c r="N31" s="292"/>
    </row>
    <row r="32" spans="2:14" x14ac:dyDescent="0.2">
      <c r="D32" s="292"/>
      <c r="E32" s="292"/>
      <c r="F32" s="292"/>
      <c r="G32" s="292"/>
      <c r="H32" s="292"/>
      <c r="I32" s="292"/>
      <c r="J32" s="292"/>
      <c r="K32" s="292"/>
      <c r="L32" s="292"/>
      <c r="M32" s="292"/>
      <c r="N32" s="292"/>
    </row>
    <row r="33" spans="1:14" s="50" customFormat="1" ht="12.75" x14ac:dyDescent="0.2">
      <c r="A33" s="108"/>
      <c r="B33" s="50">
        <v>1</v>
      </c>
      <c r="C33" s="50" t="s">
        <v>321</v>
      </c>
      <c r="D33" s="56" t="s">
        <v>322</v>
      </c>
      <c r="E33" s="56">
        <v>2005</v>
      </c>
      <c r="F33" s="56" t="s">
        <v>323</v>
      </c>
      <c r="G33" s="56" t="s">
        <v>122</v>
      </c>
      <c r="H33" s="56" t="s">
        <v>496</v>
      </c>
      <c r="I33" s="56" t="s">
        <v>290</v>
      </c>
      <c r="J33" s="590">
        <v>389.4</v>
      </c>
      <c r="K33" s="591">
        <v>37.89</v>
      </c>
      <c r="L33" s="590">
        <f>J33*K33%</f>
        <v>147.54365999999999</v>
      </c>
      <c r="M33" s="56" t="s">
        <v>324</v>
      </c>
      <c r="N33" s="56"/>
    </row>
    <row r="34" spans="1:14" s="50" customFormat="1" ht="12.75" x14ac:dyDescent="0.2">
      <c r="A34" s="108"/>
      <c r="B34" s="50">
        <v>1</v>
      </c>
      <c r="C34" s="50" t="s">
        <v>325</v>
      </c>
      <c r="D34" s="56" t="s">
        <v>326</v>
      </c>
      <c r="E34" s="56">
        <v>2010</v>
      </c>
      <c r="F34" s="56" t="s">
        <v>323</v>
      </c>
      <c r="G34" s="56" t="s">
        <v>122</v>
      </c>
      <c r="H34" s="56" t="s">
        <v>496</v>
      </c>
      <c r="I34" s="56" t="s">
        <v>290</v>
      </c>
      <c r="J34" s="590">
        <v>410</v>
      </c>
      <c r="K34" s="591">
        <v>37.89</v>
      </c>
      <c r="L34" s="590">
        <f>J34*K34%</f>
        <v>155.34900000000002</v>
      </c>
      <c r="M34" s="56" t="s">
        <v>324</v>
      </c>
      <c r="N34" s="56"/>
    </row>
    <row r="35" spans="1:14" s="50" customFormat="1" ht="12.75" x14ac:dyDescent="0.2">
      <c r="A35" s="108"/>
      <c r="B35" s="50">
        <v>1</v>
      </c>
      <c r="C35" s="50" t="s">
        <v>327</v>
      </c>
      <c r="D35" s="56" t="s">
        <v>328</v>
      </c>
      <c r="E35" s="56"/>
      <c r="F35" s="56" t="s">
        <v>327</v>
      </c>
      <c r="G35" s="56"/>
      <c r="H35" s="56" t="s">
        <v>496</v>
      </c>
      <c r="I35" s="56"/>
      <c r="J35" s="590">
        <v>226</v>
      </c>
      <c r="K35" s="591">
        <v>50</v>
      </c>
      <c r="L35" s="590">
        <f>J35*K35%</f>
        <v>113</v>
      </c>
      <c r="M35" s="56" t="s">
        <v>324</v>
      </c>
      <c r="N35" s="56"/>
    </row>
    <row r="36" spans="1:14" ht="15" thickBot="1" x14ac:dyDescent="0.25">
      <c r="D36" s="292"/>
      <c r="E36" s="292"/>
      <c r="F36" s="292"/>
      <c r="G36" s="292"/>
      <c r="H36" s="292"/>
      <c r="I36" s="292"/>
      <c r="J36" s="589"/>
      <c r="K36" s="292"/>
      <c r="L36" s="589"/>
      <c r="M36" s="292"/>
      <c r="N36" s="292"/>
    </row>
    <row r="37" spans="1:14" ht="15.75" thickBot="1" x14ac:dyDescent="0.3">
      <c r="B37" s="293">
        <f>SUM(B33:B35)</f>
        <v>3</v>
      </c>
      <c r="C37" s="293" t="s">
        <v>329</v>
      </c>
      <c r="D37" s="294"/>
      <c r="E37" s="294"/>
      <c r="F37" s="294"/>
      <c r="G37" s="294"/>
      <c r="H37" s="294"/>
      <c r="I37" s="294"/>
      <c r="J37" s="586">
        <f>SUM(J33:J35)</f>
        <v>1025.4000000000001</v>
      </c>
      <c r="K37" s="298"/>
      <c r="L37" s="588">
        <f>SUM(L33:L35)</f>
        <v>415.89265999999998</v>
      </c>
      <c r="M37" s="294"/>
      <c r="N37" s="294"/>
    </row>
    <row r="38" spans="1:14" x14ac:dyDescent="0.2">
      <c r="D38" s="292"/>
      <c r="E38" s="292"/>
      <c r="F38" s="292"/>
      <c r="G38" s="292"/>
      <c r="H38" s="292"/>
      <c r="I38" s="292"/>
      <c r="J38" s="292"/>
      <c r="K38" s="292"/>
      <c r="L38" s="292"/>
      <c r="M38" s="292"/>
      <c r="N38" s="292"/>
    </row>
    <row r="39" spans="1:14" x14ac:dyDescent="0.2">
      <c r="C39" s="520" t="s">
        <v>891</v>
      </c>
    </row>
    <row r="40" spans="1:14" x14ac:dyDescent="0.2">
      <c r="C40" s="50"/>
    </row>
  </sheetData>
  <pageMargins left="0.7" right="0.7" top="0.75" bottom="0.75" header="0.3" footer="0.3"/>
  <pageSetup paperSize="9" scale="38"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FD49F-27FD-409C-9A7E-89F5D001F121}">
  <sheetPr>
    <tabColor theme="8"/>
  </sheetPr>
  <dimension ref="A8:M122"/>
  <sheetViews>
    <sheetView showGridLines="0" topLeftCell="A91" zoomScaleNormal="100" workbookViewId="0">
      <selection activeCell="C116" sqref="C116"/>
    </sheetView>
  </sheetViews>
  <sheetFormatPr defaultColWidth="9.140625" defaultRowHeight="15" x14ac:dyDescent="0.25"/>
  <cols>
    <col min="1" max="1" width="5.7109375" style="13" customWidth="1"/>
    <col min="2" max="2" width="9" style="300" customWidth="1"/>
    <col min="3" max="3" width="22.85546875" style="300" customWidth="1"/>
    <col min="4" max="4" width="23.5703125" style="300" customWidth="1"/>
    <col min="5" max="5" width="10.5703125" style="300" bestFit="1" customWidth="1"/>
    <col min="6" max="6" width="27.28515625" style="300" customWidth="1"/>
    <col min="7" max="7" width="13.5703125" style="300" customWidth="1"/>
    <col min="8" max="8" width="25.85546875" style="300" customWidth="1"/>
    <col min="9" max="9" width="14.5703125" style="300" customWidth="1"/>
    <col min="10" max="10" width="11.5703125" style="300" customWidth="1"/>
    <col min="11" max="11" width="18.28515625" style="302" bestFit="1" customWidth="1"/>
    <col min="12" max="12" width="15.28515625" style="303" customWidth="1"/>
    <col min="13" max="13" width="3.7109375" style="300" customWidth="1"/>
    <col min="14" max="16384" width="9.140625" style="300"/>
  </cols>
  <sheetData>
    <row r="8" spans="1:13" x14ac:dyDescent="0.25">
      <c r="B8" s="299" t="s">
        <v>785</v>
      </c>
      <c r="D8" s="301"/>
      <c r="E8" s="302"/>
      <c r="F8" s="302"/>
      <c r="G8" s="302"/>
      <c r="H8" s="165"/>
      <c r="I8" s="302"/>
      <c r="J8" s="302"/>
    </row>
    <row r="9" spans="1:13" x14ac:dyDescent="0.25">
      <c r="B9" s="88" t="s">
        <v>1038</v>
      </c>
      <c r="F9" s="302"/>
      <c r="H9" s="165"/>
    </row>
    <row r="10" spans="1:13" s="307" customFormat="1" ht="48" thickBot="1" x14ac:dyDescent="0.3">
      <c r="A10" s="13"/>
      <c r="B10" s="305" t="s">
        <v>783</v>
      </c>
      <c r="C10" s="305" t="s">
        <v>109</v>
      </c>
      <c r="D10" s="305" t="s">
        <v>110</v>
      </c>
      <c r="E10" s="305" t="s">
        <v>111</v>
      </c>
      <c r="F10" s="305" t="s">
        <v>112</v>
      </c>
      <c r="G10" s="305" t="s">
        <v>113</v>
      </c>
      <c r="H10" s="305" t="s">
        <v>114</v>
      </c>
      <c r="I10" s="306" t="s">
        <v>781</v>
      </c>
      <c r="J10" s="306" t="s">
        <v>115</v>
      </c>
      <c r="K10" s="306" t="s">
        <v>116</v>
      </c>
      <c r="L10" s="306" t="s">
        <v>117</v>
      </c>
    </row>
    <row r="11" spans="1:13" x14ac:dyDescent="0.25">
      <c r="B11" s="309"/>
      <c r="C11" s="309"/>
      <c r="D11" s="309"/>
      <c r="E11" s="310"/>
      <c r="F11" s="309"/>
      <c r="G11" s="309"/>
      <c r="H11" s="309"/>
      <c r="I11" s="310"/>
      <c r="J11" s="314"/>
      <c r="K11" s="315"/>
      <c r="L11" s="316"/>
      <c r="M11" s="308"/>
    </row>
    <row r="12" spans="1:13" ht="14.25" x14ac:dyDescent="0.2">
      <c r="B12" s="334">
        <v>1</v>
      </c>
      <c r="C12" s="80" t="s">
        <v>119</v>
      </c>
      <c r="D12" s="334" t="s">
        <v>120</v>
      </c>
      <c r="E12" s="334">
        <v>2004</v>
      </c>
      <c r="F12" s="80" t="s">
        <v>121</v>
      </c>
      <c r="G12" s="334" t="s">
        <v>122</v>
      </c>
      <c r="H12" s="80" t="s">
        <v>124</v>
      </c>
      <c r="I12" s="345">
        <v>3.67</v>
      </c>
      <c r="J12" s="339">
        <v>49</v>
      </c>
      <c r="K12" s="346">
        <v>3.67</v>
      </c>
      <c r="L12" s="282" t="s">
        <v>125</v>
      </c>
      <c r="M12" s="308"/>
    </row>
    <row r="13" spans="1:13" ht="14.25" x14ac:dyDescent="0.2">
      <c r="B13" s="334">
        <v>1</v>
      </c>
      <c r="C13" s="80" t="s">
        <v>126</v>
      </c>
      <c r="D13" s="334" t="s">
        <v>120</v>
      </c>
      <c r="E13" s="334">
        <v>1951</v>
      </c>
      <c r="F13" s="80" t="s">
        <v>121</v>
      </c>
      <c r="G13" s="334" t="s">
        <v>122</v>
      </c>
      <c r="H13" s="80" t="s">
        <v>127</v>
      </c>
      <c r="I13" s="345">
        <v>93.95</v>
      </c>
      <c r="J13" s="339">
        <v>49</v>
      </c>
      <c r="K13" s="346">
        <v>93.95</v>
      </c>
      <c r="L13" s="282" t="s">
        <v>125</v>
      </c>
      <c r="M13" s="308"/>
    </row>
    <row r="14" spans="1:13" ht="14.25" x14ac:dyDescent="0.2">
      <c r="B14" s="334">
        <v>1</v>
      </c>
      <c r="C14" s="80" t="s">
        <v>128</v>
      </c>
      <c r="D14" s="334" t="s">
        <v>120</v>
      </c>
      <c r="E14" s="334">
        <v>2004</v>
      </c>
      <c r="F14" s="80" t="s">
        <v>121</v>
      </c>
      <c r="G14" s="334" t="s">
        <v>122</v>
      </c>
      <c r="H14" s="80" t="s">
        <v>124</v>
      </c>
      <c r="I14" s="345">
        <v>0.53</v>
      </c>
      <c r="J14" s="339">
        <v>49</v>
      </c>
      <c r="K14" s="346">
        <v>0.53</v>
      </c>
      <c r="L14" s="282" t="s">
        <v>125</v>
      </c>
      <c r="M14" s="308"/>
    </row>
    <row r="15" spans="1:13" ht="14.25" x14ac:dyDescent="0.2">
      <c r="B15" s="334">
        <v>1</v>
      </c>
      <c r="C15" s="80" t="s">
        <v>129</v>
      </c>
      <c r="D15" s="334" t="s">
        <v>120</v>
      </c>
      <c r="E15" s="334">
        <v>1929</v>
      </c>
      <c r="F15" s="80" t="s">
        <v>121</v>
      </c>
      <c r="G15" s="334" t="s">
        <v>122</v>
      </c>
      <c r="H15" s="80" t="s">
        <v>130</v>
      </c>
      <c r="I15" s="345">
        <v>53.2</v>
      </c>
      <c r="J15" s="339">
        <v>49</v>
      </c>
      <c r="K15" s="346">
        <v>53.2</v>
      </c>
      <c r="L15" s="282" t="s">
        <v>125</v>
      </c>
      <c r="M15" s="308"/>
    </row>
    <row r="16" spans="1:13" ht="14.25" x14ac:dyDescent="0.2">
      <c r="B16" s="334">
        <v>1</v>
      </c>
      <c r="C16" s="80" t="s">
        <v>131</v>
      </c>
      <c r="D16" s="334" t="s">
        <v>120</v>
      </c>
      <c r="E16" s="334">
        <v>1925</v>
      </c>
      <c r="F16" s="80" t="s">
        <v>121</v>
      </c>
      <c r="G16" s="334" t="s">
        <v>122</v>
      </c>
      <c r="H16" s="80" t="s">
        <v>132</v>
      </c>
      <c r="I16" s="345">
        <v>7.58</v>
      </c>
      <c r="J16" s="339">
        <v>49</v>
      </c>
      <c r="K16" s="346">
        <v>7.58</v>
      </c>
      <c r="L16" s="282" t="s">
        <v>125</v>
      </c>
      <c r="M16" s="308"/>
    </row>
    <row r="17" spans="2:13" ht="14.25" x14ac:dyDescent="0.2">
      <c r="B17" s="334">
        <v>1</v>
      </c>
      <c r="C17" s="80" t="s">
        <v>133</v>
      </c>
      <c r="D17" s="334" t="s">
        <v>134</v>
      </c>
      <c r="E17" s="334" t="s">
        <v>135</v>
      </c>
      <c r="F17" s="80" t="s">
        <v>136</v>
      </c>
      <c r="G17" s="334" t="s">
        <v>122</v>
      </c>
      <c r="H17" s="80" t="s">
        <v>130</v>
      </c>
      <c r="I17" s="345">
        <v>51.48</v>
      </c>
      <c r="J17" s="339">
        <v>100</v>
      </c>
      <c r="K17" s="346">
        <f>+I17*J17%</f>
        <v>51.48</v>
      </c>
      <c r="L17" s="282" t="s">
        <v>125</v>
      </c>
      <c r="M17" s="308"/>
    </row>
    <row r="18" spans="2:13" ht="14.25" x14ac:dyDescent="0.2">
      <c r="B18" s="334">
        <v>1</v>
      </c>
      <c r="C18" s="80" t="s">
        <v>137</v>
      </c>
      <c r="D18" s="334" t="s">
        <v>134</v>
      </c>
      <c r="E18" s="334">
        <v>1950</v>
      </c>
      <c r="F18" s="80" t="s">
        <v>136</v>
      </c>
      <c r="G18" s="334" t="s">
        <v>122</v>
      </c>
      <c r="H18" s="80" t="s">
        <v>130</v>
      </c>
      <c r="I18" s="345">
        <v>60.78</v>
      </c>
      <c r="J18" s="342">
        <v>100</v>
      </c>
      <c r="K18" s="346">
        <f t="shared" ref="K18:K47" si="0">+I18*J18%</f>
        <v>60.78</v>
      </c>
      <c r="L18" s="282" t="s">
        <v>125</v>
      </c>
      <c r="M18" s="308"/>
    </row>
    <row r="19" spans="2:13" ht="14.25" x14ac:dyDescent="0.2">
      <c r="B19" s="334">
        <v>1</v>
      </c>
      <c r="C19" s="80" t="s">
        <v>138</v>
      </c>
      <c r="D19" s="334" t="s">
        <v>134</v>
      </c>
      <c r="E19" s="334" t="s">
        <v>139</v>
      </c>
      <c r="F19" s="80" t="s">
        <v>136</v>
      </c>
      <c r="G19" s="334" t="s">
        <v>122</v>
      </c>
      <c r="H19" s="80" t="s">
        <v>124</v>
      </c>
      <c r="I19" s="345">
        <v>37.619999999999997</v>
      </c>
      <c r="J19" s="342">
        <v>100</v>
      </c>
      <c r="K19" s="346">
        <f t="shared" si="0"/>
        <v>37.619999999999997</v>
      </c>
      <c r="L19" s="282" t="s">
        <v>125</v>
      </c>
      <c r="M19" s="308"/>
    </row>
    <row r="20" spans="2:13" ht="14.25" x14ac:dyDescent="0.2">
      <c r="B20" s="334">
        <v>1</v>
      </c>
      <c r="C20" s="80" t="s">
        <v>140</v>
      </c>
      <c r="D20" s="334" t="s">
        <v>141</v>
      </c>
      <c r="E20" s="334" t="s">
        <v>142</v>
      </c>
      <c r="F20" s="80" t="s">
        <v>136</v>
      </c>
      <c r="G20" s="334" t="s">
        <v>122</v>
      </c>
      <c r="H20" s="80" t="s">
        <v>127</v>
      </c>
      <c r="I20" s="345">
        <v>54.78</v>
      </c>
      <c r="J20" s="342">
        <v>100</v>
      </c>
      <c r="K20" s="346">
        <f t="shared" si="0"/>
        <v>54.78</v>
      </c>
      <c r="L20" s="282" t="s">
        <v>125</v>
      </c>
      <c r="M20" s="308"/>
    </row>
    <row r="21" spans="2:13" ht="14.25" x14ac:dyDescent="0.2">
      <c r="B21" s="334">
        <v>1</v>
      </c>
      <c r="C21" s="80" t="s">
        <v>143</v>
      </c>
      <c r="D21" s="334" t="s">
        <v>141</v>
      </c>
      <c r="E21" s="334" t="s">
        <v>144</v>
      </c>
      <c r="F21" s="80" t="s">
        <v>136</v>
      </c>
      <c r="G21" s="334" t="s">
        <v>122</v>
      </c>
      <c r="H21" s="80" t="s">
        <v>130</v>
      </c>
      <c r="I21" s="345">
        <v>58.26</v>
      </c>
      <c r="J21" s="342">
        <v>100</v>
      </c>
      <c r="K21" s="346">
        <f t="shared" si="0"/>
        <v>58.26</v>
      </c>
      <c r="L21" s="282" t="s">
        <v>125</v>
      </c>
      <c r="M21" s="308"/>
    </row>
    <row r="22" spans="2:13" ht="14.25" x14ac:dyDescent="0.2">
      <c r="B22" s="334">
        <v>1</v>
      </c>
      <c r="C22" s="80" t="s">
        <v>145</v>
      </c>
      <c r="D22" s="334" t="s">
        <v>141</v>
      </c>
      <c r="E22" s="334">
        <v>1952</v>
      </c>
      <c r="F22" s="80" t="s">
        <v>136</v>
      </c>
      <c r="G22" s="334" t="s">
        <v>122</v>
      </c>
      <c r="H22" s="80" t="s">
        <v>146</v>
      </c>
      <c r="I22" s="345">
        <v>2.02</v>
      </c>
      <c r="J22" s="342">
        <v>100</v>
      </c>
      <c r="K22" s="346">
        <f t="shared" si="0"/>
        <v>2.02</v>
      </c>
      <c r="L22" s="282" t="s">
        <v>125</v>
      </c>
      <c r="M22" s="308"/>
    </row>
    <row r="23" spans="2:13" ht="14.25" x14ac:dyDescent="0.2">
      <c r="B23" s="334">
        <v>1</v>
      </c>
      <c r="C23" s="80" t="s">
        <v>147</v>
      </c>
      <c r="D23" s="334" t="s">
        <v>141</v>
      </c>
      <c r="E23" s="334">
        <v>1932</v>
      </c>
      <c r="F23" s="80" t="s">
        <v>136</v>
      </c>
      <c r="G23" s="334" t="s">
        <v>122</v>
      </c>
      <c r="H23" s="80" t="s">
        <v>127</v>
      </c>
      <c r="I23" s="345">
        <v>10.79</v>
      </c>
      <c r="J23" s="342">
        <v>100</v>
      </c>
      <c r="K23" s="346">
        <f t="shared" si="0"/>
        <v>10.79</v>
      </c>
      <c r="L23" s="282" t="s">
        <v>125</v>
      </c>
      <c r="M23" s="308"/>
    </row>
    <row r="24" spans="2:13" ht="14.25" x14ac:dyDescent="0.2">
      <c r="B24" s="334">
        <v>1</v>
      </c>
      <c r="C24" s="80" t="s">
        <v>148</v>
      </c>
      <c r="D24" s="334" t="s">
        <v>141</v>
      </c>
      <c r="E24" s="334">
        <v>1934</v>
      </c>
      <c r="F24" s="80" t="s">
        <v>136</v>
      </c>
      <c r="G24" s="334" t="s">
        <v>122</v>
      </c>
      <c r="H24" s="80" t="s">
        <v>127</v>
      </c>
      <c r="I24" s="345">
        <v>32.35</v>
      </c>
      <c r="J24" s="342">
        <v>100</v>
      </c>
      <c r="K24" s="346">
        <f t="shared" si="0"/>
        <v>32.35</v>
      </c>
      <c r="L24" s="282" t="s">
        <v>125</v>
      </c>
      <c r="M24" s="164"/>
    </row>
    <row r="25" spans="2:13" ht="14.25" x14ac:dyDescent="0.2">
      <c r="B25" s="334">
        <v>1</v>
      </c>
      <c r="C25" s="80" t="s">
        <v>149</v>
      </c>
      <c r="D25" s="334" t="s">
        <v>141</v>
      </c>
      <c r="E25" s="334">
        <v>1929</v>
      </c>
      <c r="F25" s="80" t="s">
        <v>136</v>
      </c>
      <c r="G25" s="334" t="s">
        <v>122</v>
      </c>
      <c r="H25" s="80" t="s">
        <v>130</v>
      </c>
      <c r="I25" s="345">
        <v>8.4700000000000006</v>
      </c>
      <c r="J25" s="342">
        <v>100</v>
      </c>
      <c r="K25" s="346">
        <f t="shared" si="0"/>
        <v>8.4700000000000006</v>
      </c>
      <c r="L25" s="282" t="s">
        <v>125</v>
      </c>
      <c r="M25" s="164"/>
    </row>
    <row r="26" spans="2:13" ht="14.25" x14ac:dyDescent="0.2">
      <c r="B26" s="334">
        <v>1</v>
      </c>
      <c r="C26" s="80" t="s">
        <v>150</v>
      </c>
      <c r="D26" s="334" t="s">
        <v>141</v>
      </c>
      <c r="E26" s="334">
        <v>1923</v>
      </c>
      <c r="F26" s="80" t="s">
        <v>136</v>
      </c>
      <c r="G26" s="334" t="s">
        <v>122</v>
      </c>
      <c r="H26" s="80" t="s">
        <v>130</v>
      </c>
      <c r="I26" s="345">
        <v>147</v>
      </c>
      <c r="J26" s="342">
        <v>100</v>
      </c>
      <c r="K26" s="346">
        <f t="shared" si="0"/>
        <v>147</v>
      </c>
      <c r="L26" s="282" t="s">
        <v>125</v>
      </c>
      <c r="M26" s="164"/>
    </row>
    <row r="27" spans="2:13" ht="14.25" x14ac:dyDescent="0.2">
      <c r="B27" s="334">
        <v>1</v>
      </c>
      <c r="C27" s="80" t="s">
        <v>151</v>
      </c>
      <c r="D27" s="334" t="s">
        <v>141</v>
      </c>
      <c r="E27" s="334" t="s">
        <v>152</v>
      </c>
      <c r="F27" s="80" t="s">
        <v>136</v>
      </c>
      <c r="G27" s="334" t="s">
        <v>122</v>
      </c>
      <c r="H27" s="80" t="s">
        <v>130</v>
      </c>
      <c r="I27" s="345">
        <v>39.11</v>
      </c>
      <c r="J27" s="342">
        <v>100</v>
      </c>
      <c r="K27" s="346">
        <f t="shared" si="0"/>
        <v>39.11</v>
      </c>
      <c r="L27" s="282" t="s">
        <v>125</v>
      </c>
      <c r="M27" s="164"/>
    </row>
    <row r="28" spans="2:13" ht="14.25" x14ac:dyDescent="0.2">
      <c r="B28" s="334">
        <v>1</v>
      </c>
      <c r="C28" s="80" t="s">
        <v>153</v>
      </c>
      <c r="D28" s="334" t="s">
        <v>154</v>
      </c>
      <c r="E28" s="334" t="s">
        <v>155</v>
      </c>
      <c r="F28" s="80" t="s">
        <v>136</v>
      </c>
      <c r="G28" s="334" t="s">
        <v>122</v>
      </c>
      <c r="H28" s="80" t="s">
        <v>130</v>
      </c>
      <c r="I28" s="345">
        <v>13.32</v>
      </c>
      <c r="J28" s="342">
        <v>100</v>
      </c>
      <c r="K28" s="346">
        <f t="shared" si="0"/>
        <v>13.32</v>
      </c>
      <c r="L28" s="282" t="s">
        <v>125</v>
      </c>
      <c r="M28" s="164"/>
    </row>
    <row r="29" spans="2:13" ht="14.25" x14ac:dyDescent="0.2">
      <c r="B29" s="334">
        <v>1</v>
      </c>
      <c r="C29" s="80" t="s">
        <v>156</v>
      </c>
      <c r="D29" s="334" t="s">
        <v>157</v>
      </c>
      <c r="E29" s="334" t="s">
        <v>158</v>
      </c>
      <c r="F29" s="80" t="s">
        <v>136</v>
      </c>
      <c r="G29" s="334" t="s">
        <v>122</v>
      </c>
      <c r="H29" s="80" t="s">
        <v>124</v>
      </c>
      <c r="I29" s="345">
        <v>4.99</v>
      </c>
      <c r="J29" s="342">
        <v>100</v>
      </c>
      <c r="K29" s="346">
        <f t="shared" si="0"/>
        <v>4.99</v>
      </c>
      <c r="L29" s="282" t="s">
        <v>125</v>
      </c>
      <c r="M29" s="164"/>
    </row>
    <row r="30" spans="2:13" ht="14.25" x14ac:dyDescent="0.2">
      <c r="B30" s="334">
        <v>1</v>
      </c>
      <c r="C30" s="80" t="s">
        <v>159</v>
      </c>
      <c r="D30" s="334" t="s">
        <v>160</v>
      </c>
      <c r="E30" s="334">
        <v>1898</v>
      </c>
      <c r="F30" s="80" t="s">
        <v>136</v>
      </c>
      <c r="G30" s="334" t="s">
        <v>122</v>
      </c>
      <c r="H30" s="80" t="s">
        <v>124</v>
      </c>
      <c r="I30" s="345">
        <v>11.72</v>
      </c>
      <c r="J30" s="342">
        <v>100</v>
      </c>
      <c r="K30" s="346">
        <f t="shared" si="0"/>
        <v>11.72</v>
      </c>
      <c r="L30" s="282" t="s">
        <v>125</v>
      </c>
      <c r="M30" s="164"/>
    </row>
    <row r="31" spans="2:13" ht="14.25" x14ac:dyDescent="0.2">
      <c r="B31" s="334">
        <v>1</v>
      </c>
      <c r="C31" s="80" t="s">
        <v>161</v>
      </c>
      <c r="D31" s="334" t="s">
        <v>160</v>
      </c>
      <c r="E31" s="334" t="s">
        <v>162</v>
      </c>
      <c r="F31" s="80" t="s">
        <v>136</v>
      </c>
      <c r="G31" s="334" t="s">
        <v>122</v>
      </c>
      <c r="H31" s="80" t="s">
        <v>124</v>
      </c>
      <c r="I31" s="345">
        <v>22.81</v>
      </c>
      <c r="J31" s="342">
        <v>100</v>
      </c>
      <c r="K31" s="346">
        <f t="shared" si="0"/>
        <v>22.81</v>
      </c>
      <c r="L31" s="282" t="s">
        <v>125</v>
      </c>
      <c r="M31" s="164"/>
    </row>
    <row r="32" spans="2:13" ht="14.25" x14ac:dyDescent="0.2">
      <c r="B32" s="334">
        <v>1</v>
      </c>
      <c r="C32" s="80" t="s">
        <v>163</v>
      </c>
      <c r="D32" s="334" t="s">
        <v>164</v>
      </c>
      <c r="E32" s="334">
        <v>1929</v>
      </c>
      <c r="F32" s="80" t="s">
        <v>136</v>
      </c>
      <c r="G32" s="334" t="s">
        <v>122</v>
      </c>
      <c r="H32" s="80" t="s">
        <v>130</v>
      </c>
      <c r="I32" s="345">
        <v>20.81</v>
      </c>
      <c r="J32" s="342">
        <v>100</v>
      </c>
      <c r="K32" s="346">
        <f t="shared" si="0"/>
        <v>20.81</v>
      </c>
      <c r="L32" s="282" t="s">
        <v>125</v>
      </c>
      <c r="M32" s="164"/>
    </row>
    <row r="33" spans="2:13" ht="14.25" x14ac:dyDescent="0.2">
      <c r="B33" s="334">
        <v>1</v>
      </c>
      <c r="C33" s="80" t="s">
        <v>165</v>
      </c>
      <c r="D33" s="334" t="s">
        <v>164</v>
      </c>
      <c r="E33" s="334">
        <v>1942</v>
      </c>
      <c r="F33" s="80" t="s">
        <v>136</v>
      </c>
      <c r="G33" s="334" t="s">
        <v>122</v>
      </c>
      <c r="H33" s="80" t="s">
        <v>132</v>
      </c>
      <c r="I33" s="345">
        <v>2.21</v>
      </c>
      <c r="J33" s="342">
        <v>100</v>
      </c>
      <c r="K33" s="346">
        <f t="shared" si="0"/>
        <v>2.21</v>
      </c>
      <c r="L33" s="282" t="s">
        <v>125</v>
      </c>
      <c r="M33" s="164"/>
    </row>
    <row r="34" spans="2:13" ht="14.25" x14ac:dyDescent="0.2">
      <c r="B34" s="334">
        <v>1</v>
      </c>
      <c r="C34" s="80" t="s">
        <v>166</v>
      </c>
      <c r="D34" s="334" t="s">
        <v>167</v>
      </c>
      <c r="E34" s="334">
        <v>1942</v>
      </c>
      <c r="F34" s="80" t="s">
        <v>136</v>
      </c>
      <c r="G34" s="334" t="s">
        <v>122</v>
      </c>
      <c r="H34" s="80" t="s">
        <v>124</v>
      </c>
      <c r="I34" s="345">
        <v>5.27</v>
      </c>
      <c r="J34" s="342">
        <v>100</v>
      </c>
      <c r="K34" s="346">
        <f t="shared" si="0"/>
        <v>5.27</v>
      </c>
      <c r="L34" s="282" t="s">
        <v>125</v>
      </c>
      <c r="M34" s="164"/>
    </row>
    <row r="35" spans="2:13" ht="14.25" x14ac:dyDescent="0.2">
      <c r="B35" s="334">
        <v>1</v>
      </c>
      <c r="C35" s="80" t="s">
        <v>168</v>
      </c>
      <c r="D35" s="334" t="s">
        <v>169</v>
      </c>
      <c r="E35" s="334">
        <v>1940</v>
      </c>
      <c r="F35" s="80" t="s">
        <v>136</v>
      </c>
      <c r="G35" s="334" t="s">
        <v>122</v>
      </c>
      <c r="H35" s="80" t="s">
        <v>127</v>
      </c>
      <c r="I35" s="345">
        <v>1.76</v>
      </c>
      <c r="J35" s="342">
        <v>100</v>
      </c>
      <c r="K35" s="346">
        <f t="shared" si="0"/>
        <v>1.76</v>
      </c>
      <c r="L35" s="282" t="s">
        <v>125</v>
      </c>
      <c r="M35" s="164"/>
    </row>
    <row r="36" spans="2:13" ht="14.25" x14ac:dyDescent="0.2">
      <c r="B36" s="334">
        <v>1</v>
      </c>
      <c r="C36" s="80" t="s">
        <v>170</v>
      </c>
      <c r="D36" s="334" t="s">
        <v>169</v>
      </c>
      <c r="E36" s="334" t="s">
        <v>171</v>
      </c>
      <c r="F36" s="80" t="s">
        <v>136</v>
      </c>
      <c r="G36" s="334" t="s">
        <v>122</v>
      </c>
      <c r="H36" s="80" t="s">
        <v>130</v>
      </c>
      <c r="I36" s="345">
        <v>26.11</v>
      </c>
      <c r="J36" s="339">
        <v>100</v>
      </c>
      <c r="K36" s="346">
        <f t="shared" si="0"/>
        <v>26.11</v>
      </c>
      <c r="L36" s="282" t="s">
        <v>125</v>
      </c>
      <c r="M36" s="164"/>
    </row>
    <row r="37" spans="2:13" ht="14.25" x14ac:dyDescent="0.2">
      <c r="B37" s="334">
        <v>1</v>
      </c>
      <c r="C37" s="80" t="s">
        <v>172</v>
      </c>
      <c r="D37" s="334" t="s">
        <v>173</v>
      </c>
      <c r="E37" s="334">
        <v>1970</v>
      </c>
      <c r="F37" s="80" t="s">
        <v>136</v>
      </c>
      <c r="G37" s="334" t="s">
        <v>122</v>
      </c>
      <c r="H37" s="80" t="s">
        <v>124</v>
      </c>
      <c r="I37" s="345">
        <v>4.91</v>
      </c>
      <c r="J37" s="342">
        <v>100</v>
      </c>
      <c r="K37" s="346">
        <f t="shared" si="0"/>
        <v>4.91</v>
      </c>
      <c r="L37" s="282" t="s">
        <v>125</v>
      </c>
      <c r="M37" s="164"/>
    </row>
    <row r="38" spans="2:13" ht="14.25" x14ac:dyDescent="0.2">
      <c r="B38" s="334">
        <v>1</v>
      </c>
      <c r="C38" s="80" t="s">
        <v>174</v>
      </c>
      <c r="D38" s="334" t="s">
        <v>134</v>
      </c>
      <c r="E38" s="334">
        <v>1927</v>
      </c>
      <c r="F38" s="80" t="s">
        <v>136</v>
      </c>
      <c r="G38" s="334" t="s">
        <v>122</v>
      </c>
      <c r="H38" s="80" t="s">
        <v>175</v>
      </c>
      <c r="I38" s="345">
        <v>3</v>
      </c>
      <c r="J38" s="342">
        <v>100</v>
      </c>
      <c r="K38" s="346">
        <f t="shared" si="0"/>
        <v>3</v>
      </c>
      <c r="L38" s="282" t="s">
        <v>125</v>
      </c>
      <c r="M38" s="164"/>
    </row>
    <row r="39" spans="2:13" ht="14.25" x14ac:dyDescent="0.2">
      <c r="B39" s="334">
        <v>1</v>
      </c>
      <c r="C39" s="80" t="s">
        <v>176</v>
      </c>
      <c r="D39" s="334" t="s">
        <v>134</v>
      </c>
      <c r="E39" s="334" t="s">
        <v>177</v>
      </c>
      <c r="F39" s="80" t="s">
        <v>136</v>
      </c>
      <c r="G39" s="334" t="s">
        <v>122</v>
      </c>
      <c r="H39" s="80" t="s">
        <v>132</v>
      </c>
      <c r="I39" s="345">
        <v>2.4900000000000002</v>
      </c>
      <c r="J39" s="342">
        <v>100</v>
      </c>
      <c r="K39" s="346">
        <f t="shared" si="0"/>
        <v>2.4900000000000002</v>
      </c>
      <c r="L39" s="282" t="s">
        <v>125</v>
      </c>
      <c r="M39" s="164"/>
    </row>
    <row r="40" spans="2:13" ht="14.25" x14ac:dyDescent="0.2">
      <c r="B40" s="334">
        <v>1</v>
      </c>
      <c r="C40" s="80" t="s">
        <v>178</v>
      </c>
      <c r="D40" s="334" t="s">
        <v>134</v>
      </c>
      <c r="E40" s="334">
        <v>1905</v>
      </c>
      <c r="F40" s="80" t="s">
        <v>136</v>
      </c>
      <c r="G40" s="334" t="s">
        <v>122</v>
      </c>
      <c r="H40" s="80" t="s">
        <v>124</v>
      </c>
      <c r="I40" s="345">
        <v>7.9</v>
      </c>
      <c r="J40" s="342">
        <v>100</v>
      </c>
      <c r="K40" s="346">
        <f t="shared" si="0"/>
        <v>7.9</v>
      </c>
      <c r="L40" s="282" t="s">
        <v>125</v>
      </c>
      <c r="M40" s="164"/>
    </row>
    <row r="41" spans="2:13" ht="14.25" x14ac:dyDescent="0.2">
      <c r="B41" s="334">
        <v>1</v>
      </c>
      <c r="C41" s="80" t="s">
        <v>179</v>
      </c>
      <c r="D41" s="334" t="s">
        <v>134</v>
      </c>
      <c r="E41" s="334" t="s">
        <v>180</v>
      </c>
      <c r="F41" s="80" t="s">
        <v>136</v>
      </c>
      <c r="G41" s="334" t="s">
        <v>122</v>
      </c>
      <c r="H41" s="80" t="s">
        <v>124</v>
      </c>
      <c r="I41" s="345">
        <v>34.56</v>
      </c>
      <c r="J41" s="342">
        <v>100</v>
      </c>
      <c r="K41" s="346">
        <f t="shared" si="0"/>
        <v>34.56</v>
      </c>
      <c r="L41" s="282" t="s">
        <v>125</v>
      </c>
      <c r="M41" s="164"/>
    </row>
    <row r="42" spans="2:13" ht="14.25" x14ac:dyDescent="0.2">
      <c r="B42" s="334">
        <v>1</v>
      </c>
      <c r="C42" s="80" t="s">
        <v>181</v>
      </c>
      <c r="D42" s="334" t="s">
        <v>182</v>
      </c>
      <c r="E42" s="334">
        <v>1965</v>
      </c>
      <c r="F42" s="80" t="s">
        <v>136</v>
      </c>
      <c r="G42" s="334" t="s">
        <v>122</v>
      </c>
      <c r="H42" s="80" t="s">
        <v>127</v>
      </c>
      <c r="I42" s="345">
        <v>7.46</v>
      </c>
      <c r="J42" s="342">
        <v>100</v>
      </c>
      <c r="K42" s="346">
        <f t="shared" si="0"/>
        <v>7.46</v>
      </c>
      <c r="L42" s="282" t="s">
        <v>125</v>
      </c>
      <c r="M42" s="164"/>
    </row>
    <row r="43" spans="2:13" ht="14.25" x14ac:dyDescent="0.2">
      <c r="B43" s="334">
        <v>1</v>
      </c>
      <c r="C43" s="80" t="s">
        <v>183</v>
      </c>
      <c r="D43" s="334" t="s">
        <v>182</v>
      </c>
      <c r="E43" s="334">
        <v>1963</v>
      </c>
      <c r="F43" s="80" t="s">
        <v>136</v>
      </c>
      <c r="G43" s="334" t="s">
        <v>122</v>
      </c>
      <c r="H43" s="80" t="s">
        <v>127</v>
      </c>
      <c r="I43" s="345">
        <v>16.649999999999999</v>
      </c>
      <c r="J43" s="342">
        <v>100</v>
      </c>
      <c r="K43" s="346">
        <f t="shared" si="0"/>
        <v>16.649999999999999</v>
      </c>
      <c r="L43" s="282" t="s">
        <v>125</v>
      </c>
      <c r="M43" s="164"/>
    </row>
    <row r="44" spans="2:13" ht="14.25" x14ac:dyDescent="0.2">
      <c r="B44" s="334">
        <v>1</v>
      </c>
      <c r="C44" s="80" t="s">
        <v>184</v>
      </c>
      <c r="D44" s="334" t="s">
        <v>182</v>
      </c>
      <c r="E44" s="334">
        <v>1952</v>
      </c>
      <c r="F44" s="80" t="s">
        <v>136</v>
      </c>
      <c r="G44" s="334" t="s">
        <v>122</v>
      </c>
      <c r="H44" s="80" t="s">
        <v>130</v>
      </c>
      <c r="I44" s="345">
        <v>8.6999999999999993</v>
      </c>
      <c r="J44" s="342">
        <v>100</v>
      </c>
      <c r="K44" s="346">
        <f t="shared" si="0"/>
        <v>8.6999999999999993</v>
      </c>
      <c r="L44" s="282" t="s">
        <v>125</v>
      </c>
      <c r="M44" s="164"/>
    </row>
    <row r="45" spans="2:13" ht="14.25" x14ac:dyDescent="0.2">
      <c r="B45" s="334">
        <v>1</v>
      </c>
      <c r="C45" s="80" t="s">
        <v>185</v>
      </c>
      <c r="D45" s="334" t="s">
        <v>182</v>
      </c>
      <c r="E45" s="334" t="s">
        <v>186</v>
      </c>
      <c r="F45" s="80" t="s">
        <v>136</v>
      </c>
      <c r="G45" s="334" t="s">
        <v>122</v>
      </c>
      <c r="H45" s="80" t="s">
        <v>124</v>
      </c>
      <c r="I45" s="345">
        <v>3.57</v>
      </c>
      <c r="J45" s="342">
        <v>100</v>
      </c>
      <c r="K45" s="346">
        <f t="shared" si="0"/>
        <v>3.57</v>
      </c>
      <c r="L45" s="282" t="s">
        <v>125</v>
      </c>
      <c r="M45" s="164"/>
    </row>
    <row r="46" spans="2:13" ht="14.25" x14ac:dyDescent="0.2">
      <c r="B46" s="334">
        <v>1</v>
      </c>
      <c r="C46" s="80" t="s">
        <v>187</v>
      </c>
      <c r="D46" s="334" t="s">
        <v>182</v>
      </c>
      <c r="E46" s="334">
        <v>1953</v>
      </c>
      <c r="F46" s="80" t="s">
        <v>136</v>
      </c>
      <c r="G46" s="334" t="s">
        <v>122</v>
      </c>
      <c r="H46" s="80" t="s">
        <v>124</v>
      </c>
      <c r="I46" s="345">
        <v>7.52</v>
      </c>
      <c r="J46" s="342">
        <v>100</v>
      </c>
      <c r="K46" s="346">
        <f t="shared" si="0"/>
        <v>7.52</v>
      </c>
      <c r="L46" s="282" t="s">
        <v>125</v>
      </c>
      <c r="M46" s="164"/>
    </row>
    <row r="47" spans="2:13" ht="14.25" x14ac:dyDescent="0.2">
      <c r="B47" s="334">
        <v>1</v>
      </c>
      <c r="C47" s="80" t="s">
        <v>188</v>
      </c>
      <c r="D47" s="334" t="s">
        <v>189</v>
      </c>
      <c r="E47" s="334">
        <v>2002</v>
      </c>
      <c r="F47" s="80" t="s">
        <v>136</v>
      </c>
      <c r="G47" s="334" t="s">
        <v>122</v>
      </c>
      <c r="H47" s="80" t="s">
        <v>132</v>
      </c>
      <c r="I47" s="345">
        <v>3.59</v>
      </c>
      <c r="J47" s="342">
        <v>100</v>
      </c>
      <c r="K47" s="346">
        <f t="shared" si="0"/>
        <v>3.59</v>
      </c>
      <c r="L47" s="282" t="s">
        <v>125</v>
      </c>
      <c r="M47" s="164"/>
    </row>
    <row r="48" spans="2:13" ht="14.25" x14ac:dyDescent="0.2">
      <c r="B48" s="334">
        <v>1</v>
      </c>
      <c r="C48" s="80" t="s">
        <v>190</v>
      </c>
      <c r="D48" s="334" t="s">
        <v>134</v>
      </c>
      <c r="E48" s="334" t="s">
        <v>191</v>
      </c>
      <c r="F48" s="80" t="s">
        <v>192</v>
      </c>
      <c r="G48" s="334" t="s">
        <v>122</v>
      </c>
      <c r="H48" s="80" t="s">
        <v>132</v>
      </c>
      <c r="I48" s="345">
        <v>5.08</v>
      </c>
      <c r="J48" s="342">
        <v>86</v>
      </c>
      <c r="K48" s="346">
        <v>5.08</v>
      </c>
      <c r="L48" s="282" t="s">
        <v>125</v>
      </c>
      <c r="M48" s="164"/>
    </row>
    <row r="49" spans="2:13" ht="14.25" x14ac:dyDescent="0.2">
      <c r="B49" s="334">
        <v>1</v>
      </c>
      <c r="C49" s="80" t="s">
        <v>193</v>
      </c>
      <c r="D49" s="334" t="s">
        <v>134</v>
      </c>
      <c r="E49" s="334">
        <v>1935</v>
      </c>
      <c r="F49" s="80" t="s">
        <v>192</v>
      </c>
      <c r="G49" s="334" t="s">
        <v>122</v>
      </c>
      <c r="H49" s="80" t="s">
        <v>132</v>
      </c>
      <c r="I49" s="345">
        <v>4.01</v>
      </c>
      <c r="J49" s="342">
        <v>86</v>
      </c>
      <c r="K49" s="346">
        <v>4.01</v>
      </c>
      <c r="L49" s="282" t="s">
        <v>125</v>
      </c>
      <c r="M49" s="164"/>
    </row>
    <row r="50" spans="2:13" ht="14.25" x14ac:dyDescent="0.2">
      <c r="B50" s="334">
        <v>1</v>
      </c>
      <c r="C50" s="80" t="s">
        <v>194</v>
      </c>
      <c r="D50" s="334" t="s">
        <v>195</v>
      </c>
      <c r="E50" s="334" t="s">
        <v>196</v>
      </c>
      <c r="F50" s="80" t="s">
        <v>192</v>
      </c>
      <c r="G50" s="334" t="s">
        <v>122</v>
      </c>
      <c r="H50" s="80" t="s">
        <v>130</v>
      </c>
      <c r="I50" s="345">
        <v>8.67</v>
      </c>
      <c r="J50" s="342">
        <v>86</v>
      </c>
      <c r="K50" s="346">
        <v>8.67</v>
      </c>
      <c r="L50" s="282" t="s">
        <v>125</v>
      </c>
      <c r="M50" s="164"/>
    </row>
    <row r="51" spans="2:13" ht="14.25" x14ac:dyDescent="0.2">
      <c r="B51" s="334">
        <v>1</v>
      </c>
      <c r="C51" s="80" t="s">
        <v>197</v>
      </c>
      <c r="D51" s="334" t="s">
        <v>198</v>
      </c>
      <c r="E51" s="334">
        <v>2003</v>
      </c>
      <c r="F51" s="80" t="s">
        <v>136</v>
      </c>
      <c r="G51" s="334" t="s">
        <v>122</v>
      </c>
      <c r="H51" s="80" t="s">
        <v>132</v>
      </c>
      <c r="I51" s="345">
        <v>2.645179341724512</v>
      </c>
      <c r="J51" s="339">
        <v>100</v>
      </c>
      <c r="K51" s="346">
        <f t="shared" ref="K51:K85" si="1">+I51*J51%</f>
        <v>2.645179341724512</v>
      </c>
      <c r="L51" s="282" t="s">
        <v>125</v>
      </c>
      <c r="M51" s="164"/>
    </row>
    <row r="52" spans="2:13" ht="14.25" x14ac:dyDescent="0.2">
      <c r="B52" s="334">
        <v>1</v>
      </c>
      <c r="C52" s="80" t="s">
        <v>199</v>
      </c>
      <c r="D52" s="334" t="s">
        <v>200</v>
      </c>
      <c r="E52" s="334">
        <v>1922</v>
      </c>
      <c r="F52" s="80" t="s">
        <v>136</v>
      </c>
      <c r="G52" s="334" t="s">
        <v>122</v>
      </c>
      <c r="H52" s="80" t="s">
        <v>132</v>
      </c>
      <c r="I52" s="345">
        <v>2.9043184709883332</v>
      </c>
      <c r="J52" s="339">
        <v>100</v>
      </c>
      <c r="K52" s="346">
        <f t="shared" si="1"/>
        <v>2.9043184709883332</v>
      </c>
      <c r="L52" s="282" t="s">
        <v>125</v>
      </c>
      <c r="M52" s="164"/>
    </row>
    <row r="53" spans="2:13" ht="14.25" x14ac:dyDescent="0.2">
      <c r="B53" s="334">
        <v>1</v>
      </c>
      <c r="C53" s="80" t="s">
        <v>896</v>
      </c>
      <c r="D53" s="334" t="s">
        <v>200</v>
      </c>
      <c r="E53" s="334">
        <v>1918</v>
      </c>
      <c r="F53" s="80" t="s">
        <v>136</v>
      </c>
      <c r="G53" s="334" t="s">
        <v>122</v>
      </c>
      <c r="H53" s="80" t="s">
        <v>132</v>
      </c>
      <c r="I53" s="345">
        <v>0.34458015757488691</v>
      </c>
      <c r="J53" s="339">
        <v>100</v>
      </c>
      <c r="K53" s="346">
        <f t="shared" si="1"/>
        <v>0.34458015757488691</v>
      </c>
      <c r="L53" s="282" t="s">
        <v>125</v>
      </c>
      <c r="M53" s="164"/>
    </row>
    <row r="54" spans="2:13" ht="14.25" x14ac:dyDescent="0.2">
      <c r="B54" s="334">
        <v>1</v>
      </c>
      <c r="C54" s="80" t="s">
        <v>202</v>
      </c>
      <c r="D54" s="334" t="s">
        <v>203</v>
      </c>
      <c r="E54" s="334" t="s">
        <v>204</v>
      </c>
      <c r="F54" s="80" t="s">
        <v>136</v>
      </c>
      <c r="G54" s="334" t="s">
        <v>122</v>
      </c>
      <c r="H54" s="80" t="s">
        <v>132</v>
      </c>
      <c r="I54" s="345">
        <v>2.8247723366396995</v>
      </c>
      <c r="J54" s="339">
        <v>100</v>
      </c>
      <c r="K54" s="346">
        <f t="shared" si="1"/>
        <v>2.8247723366396995</v>
      </c>
      <c r="L54" s="282" t="s">
        <v>125</v>
      </c>
      <c r="M54" s="164"/>
    </row>
    <row r="55" spans="2:13" ht="14.25" x14ac:dyDescent="0.2">
      <c r="B55" s="334">
        <v>1</v>
      </c>
      <c r="C55" s="80" t="s">
        <v>205</v>
      </c>
      <c r="D55" s="334" t="s">
        <v>200</v>
      </c>
      <c r="E55" s="334">
        <v>1920</v>
      </c>
      <c r="F55" s="80" t="s">
        <v>136</v>
      </c>
      <c r="G55" s="334" t="s">
        <v>122</v>
      </c>
      <c r="H55" s="80" t="s">
        <v>132</v>
      </c>
      <c r="I55" s="345">
        <v>0.34458015757488691</v>
      </c>
      <c r="J55" s="339">
        <v>100</v>
      </c>
      <c r="K55" s="346">
        <f t="shared" si="1"/>
        <v>0.34458015757488691</v>
      </c>
      <c r="L55" s="282" t="s">
        <v>125</v>
      </c>
      <c r="M55" s="164"/>
    </row>
    <row r="56" spans="2:13" ht="14.25" x14ac:dyDescent="0.2">
      <c r="B56" s="334">
        <v>1</v>
      </c>
      <c r="C56" s="80" t="s">
        <v>206</v>
      </c>
      <c r="D56" s="334" t="s">
        <v>207</v>
      </c>
      <c r="E56" s="334" t="s">
        <v>208</v>
      </c>
      <c r="F56" s="80" t="s">
        <v>136</v>
      </c>
      <c r="G56" s="334" t="s">
        <v>209</v>
      </c>
      <c r="H56" s="80" t="s">
        <v>132</v>
      </c>
      <c r="I56" s="345">
        <v>0.29279195529301771</v>
      </c>
      <c r="J56" s="339">
        <v>100</v>
      </c>
      <c r="K56" s="346">
        <f t="shared" si="1"/>
        <v>0.29279195529301771</v>
      </c>
      <c r="L56" s="282" t="s">
        <v>125</v>
      </c>
      <c r="M56" s="164"/>
    </row>
    <row r="57" spans="2:13" ht="14.25" x14ac:dyDescent="0.2">
      <c r="B57" s="334">
        <v>1</v>
      </c>
      <c r="C57" s="80" t="s">
        <v>210</v>
      </c>
      <c r="D57" s="334" t="s">
        <v>203</v>
      </c>
      <c r="E57" s="334" t="s">
        <v>211</v>
      </c>
      <c r="F57" s="80" t="s">
        <v>136</v>
      </c>
      <c r="G57" s="334" t="s">
        <v>122</v>
      </c>
      <c r="H57" s="80" t="s">
        <v>132</v>
      </c>
      <c r="I57" s="345">
        <v>3.4092079924961896</v>
      </c>
      <c r="J57" s="339">
        <v>100</v>
      </c>
      <c r="K57" s="346">
        <f t="shared" si="1"/>
        <v>3.4092079924961896</v>
      </c>
      <c r="L57" s="282" t="s">
        <v>125</v>
      </c>
      <c r="M57" s="164"/>
    </row>
    <row r="58" spans="2:13" ht="14.25" x14ac:dyDescent="0.2">
      <c r="B58" s="334">
        <v>1</v>
      </c>
      <c r="C58" s="80" t="s">
        <v>212</v>
      </c>
      <c r="D58" s="334" t="s">
        <v>200</v>
      </c>
      <c r="E58" s="334">
        <v>1938</v>
      </c>
      <c r="F58" s="80" t="s">
        <v>136</v>
      </c>
      <c r="G58" s="334" t="s">
        <v>122</v>
      </c>
      <c r="H58" s="80" t="s">
        <v>132</v>
      </c>
      <c r="I58" s="345">
        <v>1.4275463670959603</v>
      </c>
      <c r="J58" s="339">
        <v>100</v>
      </c>
      <c r="K58" s="346">
        <f t="shared" si="1"/>
        <v>1.4275463670959603</v>
      </c>
      <c r="L58" s="282" t="s">
        <v>125</v>
      </c>
      <c r="M58" s="164"/>
    </row>
    <row r="59" spans="2:13" ht="14.25" x14ac:dyDescent="0.2">
      <c r="B59" s="334">
        <v>1</v>
      </c>
      <c r="C59" s="80" t="s">
        <v>213</v>
      </c>
      <c r="D59" s="334" t="s">
        <v>207</v>
      </c>
      <c r="E59" s="334" t="s">
        <v>214</v>
      </c>
      <c r="F59" s="80" t="s">
        <v>136</v>
      </c>
      <c r="G59" s="334" t="s">
        <v>209</v>
      </c>
      <c r="H59" s="80" t="s">
        <v>132</v>
      </c>
      <c r="I59" s="345">
        <v>0.141154008391981</v>
      </c>
      <c r="J59" s="339">
        <v>100</v>
      </c>
      <c r="K59" s="346">
        <f t="shared" si="1"/>
        <v>0.141154008391981</v>
      </c>
      <c r="L59" s="282" t="s">
        <v>125</v>
      </c>
      <c r="M59" s="164"/>
    </row>
    <row r="60" spans="2:13" ht="14.25" x14ac:dyDescent="0.2">
      <c r="B60" s="334">
        <v>1</v>
      </c>
      <c r="C60" s="80" t="s">
        <v>215</v>
      </c>
      <c r="D60" s="334" t="s">
        <v>182</v>
      </c>
      <c r="E60" s="334">
        <v>1954</v>
      </c>
      <c r="F60" s="80" t="s">
        <v>216</v>
      </c>
      <c r="G60" s="334" t="s">
        <v>122</v>
      </c>
      <c r="H60" s="80" t="s">
        <v>130</v>
      </c>
      <c r="I60" s="345">
        <v>20.55</v>
      </c>
      <c r="J60" s="339">
        <v>100</v>
      </c>
      <c r="K60" s="346">
        <f t="shared" si="1"/>
        <v>20.55</v>
      </c>
      <c r="L60" s="282" t="s">
        <v>125</v>
      </c>
      <c r="M60" s="164"/>
    </row>
    <row r="61" spans="2:13" ht="14.25" x14ac:dyDescent="0.2">
      <c r="B61" s="334">
        <v>1</v>
      </c>
      <c r="C61" s="80" t="s">
        <v>217</v>
      </c>
      <c r="D61" s="334" t="s">
        <v>182</v>
      </c>
      <c r="E61" s="334">
        <v>1997</v>
      </c>
      <c r="F61" s="80" t="s">
        <v>216</v>
      </c>
      <c r="G61" s="334" t="s">
        <v>122</v>
      </c>
      <c r="H61" s="80" t="s">
        <v>124</v>
      </c>
      <c r="I61" s="345">
        <v>10.92</v>
      </c>
      <c r="J61" s="339">
        <v>100</v>
      </c>
      <c r="K61" s="346">
        <f t="shared" si="1"/>
        <v>10.92</v>
      </c>
      <c r="L61" s="282" t="s">
        <v>125</v>
      </c>
      <c r="M61" s="164"/>
    </row>
    <row r="62" spans="2:13" ht="14.25" x14ac:dyDescent="0.2">
      <c r="B62" s="334">
        <v>1</v>
      </c>
      <c r="C62" s="80" t="s">
        <v>218</v>
      </c>
      <c r="D62" s="334" t="s">
        <v>182</v>
      </c>
      <c r="E62" s="334">
        <v>1988</v>
      </c>
      <c r="F62" s="80" t="s">
        <v>216</v>
      </c>
      <c r="G62" s="334" t="s">
        <v>122</v>
      </c>
      <c r="H62" s="80" t="s">
        <v>124</v>
      </c>
      <c r="I62" s="345">
        <v>10.23</v>
      </c>
      <c r="J62" s="339">
        <v>100</v>
      </c>
      <c r="K62" s="346">
        <f t="shared" si="1"/>
        <v>10.23</v>
      </c>
      <c r="L62" s="282" t="s">
        <v>125</v>
      </c>
      <c r="M62" s="164"/>
    </row>
    <row r="63" spans="2:13" ht="14.25" x14ac:dyDescent="0.2">
      <c r="B63" s="334">
        <v>1</v>
      </c>
      <c r="C63" s="80" t="s">
        <v>219</v>
      </c>
      <c r="D63" s="334" t="s">
        <v>182</v>
      </c>
      <c r="E63" s="334">
        <v>1954</v>
      </c>
      <c r="F63" s="80" t="s">
        <v>216</v>
      </c>
      <c r="G63" s="334" t="s">
        <v>122</v>
      </c>
      <c r="H63" s="80" t="s">
        <v>124</v>
      </c>
      <c r="I63" s="345">
        <v>11.59</v>
      </c>
      <c r="J63" s="339">
        <v>100</v>
      </c>
      <c r="K63" s="346">
        <f t="shared" si="1"/>
        <v>11.59</v>
      </c>
      <c r="L63" s="282" t="s">
        <v>125</v>
      </c>
      <c r="M63" s="164"/>
    </row>
    <row r="64" spans="2:13" ht="14.25" x14ac:dyDescent="0.2">
      <c r="B64" s="334">
        <v>1</v>
      </c>
      <c r="C64" s="80" t="s">
        <v>220</v>
      </c>
      <c r="D64" s="334" t="s">
        <v>182</v>
      </c>
      <c r="E64" s="334">
        <v>1988</v>
      </c>
      <c r="F64" s="80" t="s">
        <v>216</v>
      </c>
      <c r="G64" s="334" t="s">
        <v>122</v>
      </c>
      <c r="H64" s="80" t="s">
        <v>124</v>
      </c>
      <c r="I64" s="345">
        <v>18.010000000000002</v>
      </c>
      <c r="J64" s="339">
        <v>100</v>
      </c>
      <c r="K64" s="346">
        <f t="shared" si="1"/>
        <v>18.010000000000002</v>
      </c>
      <c r="L64" s="282" t="s">
        <v>125</v>
      </c>
      <c r="M64" s="164"/>
    </row>
    <row r="65" spans="2:13" ht="14.25" x14ac:dyDescent="0.2">
      <c r="B65" s="334">
        <v>1</v>
      </c>
      <c r="C65" s="80" t="s">
        <v>221</v>
      </c>
      <c r="D65" s="334" t="s">
        <v>182</v>
      </c>
      <c r="E65" s="334">
        <v>1954</v>
      </c>
      <c r="F65" s="80" t="s">
        <v>216</v>
      </c>
      <c r="G65" s="334" t="s">
        <v>122</v>
      </c>
      <c r="H65" s="80" t="s">
        <v>124</v>
      </c>
      <c r="I65" s="345">
        <v>10.09</v>
      </c>
      <c r="J65" s="339">
        <v>100</v>
      </c>
      <c r="K65" s="346">
        <f t="shared" si="1"/>
        <v>10.09</v>
      </c>
      <c r="L65" s="282" t="s">
        <v>125</v>
      </c>
      <c r="M65" s="164"/>
    </row>
    <row r="66" spans="2:13" ht="14.25" x14ac:dyDescent="0.2">
      <c r="B66" s="334">
        <v>1</v>
      </c>
      <c r="C66" s="80" t="s">
        <v>222</v>
      </c>
      <c r="D66" s="334" t="s">
        <v>207</v>
      </c>
      <c r="E66" s="334">
        <v>1954</v>
      </c>
      <c r="F66" s="80" t="s">
        <v>216</v>
      </c>
      <c r="G66" s="334" t="s">
        <v>209</v>
      </c>
      <c r="H66" s="80" t="s">
        <v>132</v>
      </c>
      <c r="I66" s="345">
        <v>0.18939930338422084</v>
      </c>
      <c r="J66" s="339">
        <v>100</v>
      </c>
      <c r="K66" s="346">
        <f t="shared" si="1"/>
        <v>0.18939930338422084</v>
      </c>
      <c r="L66" s="282" t="s">
        <v>125</v>
      </c>
      <c r="M66" s="164"/>
    </row>
    <row r="67" spans="2:13" ht="14.25" x14ac:dyDescent="0.2">
      <c r="B67" s="334">
        <v>1</v>
      </c>
      <c r="C67" s="80" t="s">
        <v>223</v>
      </c>
      <c r="D67" s="334" t="s">
        <v>207</v>
      </c>
      <c r="E67" s="334" t="s">
        <v>224</v>
      </c>
      <c r="F67" s="80" t="s">
        <v>216</v>
      </c>
      <c r="G67" s="334" t="s">
        <v>122</v>
      </c>
      <c r="H67" s="80" t="s">
        <v>132</v>
      </c>
      <c r="I67" s="345">
        <v>1.3924807855624071</v>
      </c>
      <c r="J67" s="339">
        <v>100</v>
      </c>
      <c r="K67" s="346">
        <f t="shared" si="1"/>
        <v>1.3924807855624071</v>
      </c>
      <c r="L67" s="282" t="s">
        <v>125</v>
      </c>
      <c r="M67" s="164"/>
    </row>
    <row r="68" spans="2:13" ht="14.25" x14ac:dyDescent="0.2">
      <c r="B68" s="334">
        <v>1</v>
      </c>
      <c r="C68" s="80" t="s">
        <v>225</v>
      </c>
      <c r="D68" s="334" t="s">
        <v>207</v>
      </c>
      <c r="E68" s="334" t="s">
        <v>226</v>
      </c>
      <c r="F68" s="80" t="s">
        <v>216</v>
      </c>
      <c r="G68" s="334" t="s">
        <v>122</v>
      </c>
      <c r="H68" s="80" t="s">
        <v>132</v>
      </c>
      <c r="I68" s="345">
        <v>0.89800000000000002</v>
      </c>
      <c r="J68" s="339">
        <v>100</v>
      </c>
      <c r="K68" s="346">
        <f t="shared" si="1"/>
        <v>0.89800000000000002</v>
      </c>
      <c r="L68" s="282" t="s">
        <v>125</v>
      </c>
      <c r="M68" s="164"/>
    </row>
    <row r="69" spans="2:13" ht="14.25" x14ac:dyDescent="0.2">
      <c r="B69" s="334">
        <v>1</v>
      </c>
      <c r="C69" s="80" t="s">
        <v>227</v>
      </c>
      <c r="D69" s="334" t="s">
        <v>207</v>
      </c>
      <c r="E69" s="334">
        <v>1916</v>
      </c>
      <c r="F69" s="80" t="s">
        <v>216</v>
      </c>
      <c r="G69" s="334" t="s">
        <v>209</v>
      </c>
      <c r="H69" s="80" t="s">
        <v>132</v>
      </c>
      <c r="I69" s="345">
        <v>0.13619639763047364</v>
      </c>
      <c r="J69" s="339">
        <v>100</v>
      </c>
      <c r="K69" s="346">
        <f t="shared" si="1"/>
        <v>0.13619639763047364</v>
      </c>
      <c r="L69" s="282" t="s">
        <v>125</v>
      </c>
      <c r="M69" s="164"/>
    </row>
    <row r="70" spans="2:13" ht="14.25" x14ac:dyDescent="0.2">
      <c r="B70" s="334">
        <v>1</v>
      </c>
      <c r="C70" s="80" t="s">
        <v>228</v>
      </c>
      <c r="D70" s="334" t="s">
        <v>229</v>
      </c>
      <c r="E70" s="334" t="s">
        <v>191</v>
      </c>
      <c r="F70" s="80" t="s">
        <v>216</v>
      </c>
      <c r="G70" s="334" t="s">
        <v>230</v>
      </c>
      <c r="H70" s="80" t="s">
        <v>132</v>
      </c>
      <c r="I70" s="345">
        <v>0.21360080701078346</v>
      </c>
      <c r="J70" s="339">
        <v>100</v>
      </c>
      <c r="K70" s="346">
        <f t="shared" si="1"/>
        <v>0.21360080701078346</v>
      </c>
      <c r="L70" s="282" t="s">
        <v>125</v>
      </c>
      <c r="M70" s="164"/>
    </row>
    <row r="71" spans="2:13" ht="14.25" x14ac:dyDescent="0.2">
      <c r="B71" s="334">
        <v>1</v>
      </c>
      <c r="C71" s="80" t="s">
        <v>231</v>
      </c>
      <c r="D71" s="334" t="s">
        <v>207</v>
      </c>
      <c r="E71" s="334" t="s">
        <v>232</v>
      </c>
      <c r="F71" s="80" t="s">
        <v>216</v>
      </c>
      <c r="G71" s="334" t="s">
        <v>122</v>
      </c>
      <c r="H71" s="80" t="s">
        <v>132</v>
      </c>
      <c r="I71" s="345">
        <v>1.6749206922297299</v>
      </c>
      <c r="J71" s="339">
        <v>100</v>
      </c>
      <c r="K71" s="346">
        <f t="shared" si="1"/>
        <v>1.6749206922297299</v>
      </c>
      <c r="L71" s="282" t="s">
        <v>125</v>
      </c>
      <c r="M71" s="164"/>
    </row>
    <row r="72" spans="2:13" ht="14.25" x14ac:dyDescent="0.2">
      <c r="B72" s="334">
        <v>1</v>
      </c>
      <c r="C72" s="80" t="s">
        <v>233</v>
      </c>
      <c r="D72" s="334" t="s">
        <v>207</v>
      </c>
      <c r="E72" s="334">
        <v>1942</v>
      </c>
      <c r="F72" s="80" t="s">
        <v>216</v>
      </c>
      <c r="G72" s="334" t="s">
        <v>209</v>
      </c>
      <c r="H72" s="80" t="s">
        <v>132</v>
      </c>
      <c r="I72" s="345">
        <v>0.3275249983374075</v>
      </c>
      <c r="J72" s="339">
        <v>100</v>
      </c>
      <c r="K72" s="346">
        <f t="shared" si="1"/>
        <v>0.3275249983374075</v>
      </c>
      <c r="L72" s="282" t="s">
        <v>125</v>
      </c>
      <c r="M72" s="164"/>
    </row>
    <row r="73" spans="2:13" ht="14.25" x14ac:dyDescent="0.2">
      <c r="B73" s="334">
        <v>1</v>
      </c>
      <c r="C73" s="80" t="s">
        <v>234</v>
      </c>
      <c r="D73" s="334" t="s">
        <v>229</v>
      </c>
      <c r="E73" s="334" t="s">
        <v>191</v>
      </c>
      <c r="F73" s="80" t="s">
        <v>216</v>
      </c>
      <c r="G73" s="334" t="s">
        <v>230</v>
      </c>
      <c r="H73" s="80" t="s">
        <v>132</v>
      </c>
      <c r="I73" s="345">
        <v>0.31482890015564502</v>
      </c>
      <c r="J73" s="339">
        <v>100</v>
      </c>
      <c r="K73" s="346">
        <f t="shared" si="1"/>
        <v>0.31482890015564502</v>
      </c>
      <c r="L73" s="282" t="s">
        <v>125</v>
      </c>
      <c r="M73" s="164"/>
    </row>
    <row r="74" spans="2:13" ht="14.25" x14ac:dyDescent="0.2">
      <c r="B74" s="334">
        <v>1</v>
      </c>
      <c r="C74" s="80" t="s">
        <v>235</v>
      </c>
      <c r="D74" s="334" t="s">
        <v>229</v>
      </c>
      <c r="E74" s="334" t="s">
        <v>236</v>
      </c>
      <c r="F74" s="80" t="s">
        <v>216</v>
      </c>
      <c r="G74" s="334" t="s">
        <v>230</v>
      </c>
      <c r="H74" s="80" t="s">
        <v>132</v>
      </c>
      <c r="I74" s="345">
        <v>0.42471481860381793</v>
      </c>
      <c r="J74" s="339">
        <v>100</v>
      </c>
      <c r="K74" s="346">
        <f t="shared" si="1"/>
        <v>0.42471481860381793</v>
      </c>
      <c r="L74" s="282" t="s">
        <v>125</v>
      </c>
      <c r="M74" s="164"/>
    </row>
    <row r="75" spans="2:13" ht="14.25" x14ac:dyDescent="0.2">
      <c r="B75" s="334">
        <v>1</v>
      </c>
      <c r="C75" s="80" t="s">
        <v>237</v>
      </c>
      <c r="D75" s="334" t="s">
        <v>182</v>
      </c>
      <c r="E75" s="334">
        <v>1922</v>
      </c>
      <c r="F75" s="80" t="s">
        <v>216</v>
      </c>
      <c r="G75" s="334" t="s">
        <v>209</v>
      </c>
      <c r="H75" s="80" t="s">
        <v>132</v>
      </c>
      <c r="I75" s="345">
        <v>0.48847187471596643</v>
      </c>
      <c r="J75" s="339">
        <v>100</v>
      </c>
      <c r="K75" s="346">
        <f t="shared" si="1"/>
        <v>0.48847187471596643</v>
      </c>
      <c r="L75" s="282" t="s">
        <v>125</v>
      </c>
      <c r="M75" s="164"/>
    </row>
    <row r="76" spans="2:13" ht="14.25" x14ac:dyDescent="0.2">
      <c r="B76" s="334">
        <v>1</v>
      </c>
      <c r="C76" s="80" t="s">
        <v>238</v>
      </c>
      <c r="D76" s="334" t="s">
        <v>207</v>
      </c>
      <c r="E76" s="334">
        <v>1901</v>
      </c>
      <c r="F76" s="80" t="s">
        <v>216</v>
      </c>
      <c r="G76" s="334" t="s">
        <v>209</v>
      </c>
      <c r="H76" s="80" t="s">
        <v>132</v>
      </c>
      <c r="I76" s="345">
        <v>0.66088765116161197</v>
      </c>
      <c r="J76" s="339">
        <v>100</v>
      </c>
      <c r="K76" s="346">
        <f t="shared" si="1"/>
        <v>0.66088765116161197</v>
      </c>
      <c r="L76" s="282" t="s">
        <v>125</v>
      </c>
      <c r="M76" s="164"/>
    </row>
    <row r="77" spans="2:13" ht="14.25" x14ac:dyDescent="0.2">
      <c r="B77" s="334">
        <v>1</v>
      </c>
      <c r="C77" s="80" t="s">
        <v>239</v>
      </c>
      <c r="D77" s="334" t="s">
        <v>229</v>
      </c>
      <c r="E77" s="334" t="s">
        <v>191</v>
      </c>
      <c r="F77" s="80" t="s">
        <v>216</v>
      </c>
      <c r="G77" s="334" t="s">
        <v>230</v>
      </c>
      <c r="H77" s="80" t="s">
        <v>132</v>
      </c>
      <c r="I77" s="345">
        <v>0.54250699241566824</v>
      </c>
      <c r="J77" s="339">
        <v>100</v>
      </c>
      <c r="K77" s="346">
        <f t="shared" si="1"/>
        <v>0.54250699241566824</v>
      </c>
      <c r="L77" s="282" t="s">
        <v>125</v>
      </c>
      <c r="M77" s="164"/>
    </row>
    <row r="78" spans="2:13" ht="14.25" x14ac:dyDescent="0.2">
      <c r="B78" s="334">
        <v>1</v>
      </c>
      <c r="C78" s="80" t="s">
        <v>240</v>
      </c>
      <c r="D78" s="334" t="s">
        <v>207</v>
      </c>
      <c r="E78" s="334">
        <v>1905</v>
      </c>
      <c r="F78" s="80" t="s">
        <v>216</v>
      </c>
      <c r="G78" s="334" t="s">
        <v>209</v>
      </c>
      <c r="H78" s="80" t="s">
        <v>132</v>
      </c>
      <c r="I78" s="345">
        <v>0.20442806703246383</v>
      </c>
      <c r="J78" s="339">
        <v>100</v>
      </c>
      <c r="K78" s="346">
        <f t="shared" si="1"/>
        <v>0.20442806703246383</v>
      </c>
      <c r="L78" s="282" t="s">
        <v>125</v>
      </c>
      <c r="M78" s="164"/>
    </row>
    <row r="79" spans="2:13" ht="14.25" x14ac:dyDescent="0.2">
      <c r="B79" s="334">
        <v>1</v>
      </c>
      <c r="C79" s="80" t="s">
        <v>241</v>
      </c>
      <c r="D79" s="334" t="s">
        <v>229</v>
      </c>
      <c r="E79" s="334" t="s">
        <v>191</v>
      </c>
      <c r="F79" s="80" t="s">
        <v>216</v>
      </c>
      <c r="G79" s="334" t="s">
        <v>230</v>
      </c>
      <c r="H79" s="80" t="s">
        <v>132</v>
      </c>
      <c r="I79" s="345">
        <v>0.29517046527976976</v>
      </c>
      <c r="J79" s="339">
        <v>100</v>
      </c>
      <c r="K79" s="346">
        <f t="shared" si="1"/>
        <v>0.29517046527976976</v>
      </c>
      <c r="L79" s="282" t="s">
        <v>125</v>
      </c>
      <c r="M79" s="164"/>
    </row>
    <row r="80" spans="2:13" ht="14.25" x14ac:dyDescent="0.2">
      <c r="B80" s="334">
        <v>1</v>
      </c>
      <c r="C80" s="80" t="s">
        <v>242</v>
      </c>
      <c r="D80" s="334" t="s">
        <v>207</v>
      </c>
      <c r="E80" s="334" t="s">
        <v>243</v>
      </c>
      <c r="F80" s="80" t="s">
        <v>216</v>
      </c>
      <c r="G80" s="334" t="s">
        <v>122</v>
      </c>
      <c r="H80" s="80" t="s">
        <v>132</v>
      </c>
      <c r="I80" s="345">
        <v>2.3857631001253807</v>
      </c>
      <c r="J80" s="339">
        <v>100</v>
      </c>
      <c r="K80" s="346">
        <f t="shared" si="1"/>
        <v>2.3857631001253807</v>
      </c>
      <c r="L80" s="282" t="s">
        <v>125</v>
      </c>
      <c r="M80" s="164"/>
    </row>
    <row r="81" spans="2:13" ht="14.25" x14ac:dyDescent="0.2">
      <c r="B81" s="334">
        <v>1</v>
      </c>
      <c r="C81" s="80" t="s">
        <v>244</v>
      </c>
      <c r="D81" s="334" t="s">
        <v>207</v>
      </c>
      <c r="E81" s="334">
        <v>1957</v>
      </c>
      <c r="F81" s="80" t="s">
        <v>216</v>
      </c>
      <c r="G81" s="334" t="s">
        <v>209</v>
      </c>
      <c r="H81" s="80" t="s">
        <v>132</v>
      </c>
      <c r="I81" s="345">
        <v>0.19253112159715813</v>
      </c>
      <c r="J81" s="339">
        <v>100</v>
      </c>
      <c r="K81" s="346">
        <f t="shared" si="1"/>
        <v>0.19253112159715813</v>
      </c>
      <c r="L81" s="282" t="s">
        <v>125</v>
      </c>
      <c r="M81" s="164"/>
    </row>
    <row r="82" spans="2:13" ht="14.25" x14ac:dyDescent="0.2">
      <c r="B82" s="334">
        <v>1</v>
      </c>
      <c r="C82" s="80" t="s">
        <v>245</v>
      </c>
      <c r="D82" s="334" t="s">
        <v>182</v>
      </c>
      <c r="E82" s="334">
        <v>1906</v>
      </c>
      <c r="F82" s="80" t="s">
        <v>216</v>
      </c>
      <c r="G82" s="334" t="s">
        <v>209</v>
      </c>
      <c r="H82" s="80" t="s">
        <v>132</v>
      </c>
      <c r="I82" s="345">
        <v>0.28199999999999997</v>
      </c>
      <c r="J82" s="339">
        <v>100</v>
      </c>
      <c r="K82" s="346">
        <f t="shared" si="1"/>
        <v>0.28199999999999997</v>
      </c>
      <c r="L82" s="282" t="s">
        <v>125</v>
      </c>
      <c r="M82" s="164"/>
    </row>
    <row r="83" spans="2:13" ht="14.25" x14ac:dyDescent="0.2">
      <c r="B83" s="334">
        <v>1</v>
      </c>
      <c r="C83" s="80" t="s">
        <v>246</v>
      </c>
      <c r="D83" s="334" t="s">
        <v>247</v>
      </c>
      <c r="E83" s="334">
        <v>2017</v>
      </c>
      <c r="F83" s="80" t="s">
        <v>136</v>
      </c>
      <c r="G83" s="334" t="s">
        <v>122</v>
      </c>
      <c r="H83" s="80" t="s">
        <v>132</v>
      </c>
      <c r="I83" s="345">
        <v>4.2380000000000004</v>
      </c>
      <c r="J83" s="339">
        <v>100</v>
      </c>
      <c r="K83" s="346">
        <f t="shared" si="1"/>
        <v>4.2380000000000004</v>
      </c>
      <c r="L83" s="282" t="s">
        <v>125</v>
      </c>
      <c r="M83" s="164"/>
    </row>
    <row r="84" spans="2:13" ht="14.25" x14ac:dyDescent="0.2">
      <c r="B84" s="334">
        <v>1</v>
      </c>
      <c r="C84" s="80" t="s">
        <v>248</v>
      </c>
      <c r="D84" s="334" t="s">
        <v>203</v>
      </c>
      <c r="E84" s="334">
        <v>2010</v>
      </c>
      <c r="F84" s="80" t="s">
        <v>136</v>
      </c>
      <c r="G84" s="334" t="s">
        <v>122</v>
      </c>
      <c r="H84" s="80" t="s">
        <v>132</v>
      </c>
      <c r="I84" s="345">
        <v>4.758</v>
      </c>
      <c r="J84" s="339">
        <v>100</v>
      </c>
      <c r="K84" s="346">
        <f t="shared" si="1"/>
        <v>4.758</v>
      </c>
      <c r="L84" s="282" t="s">
        <v>125</v>
      </c>
      <c r="M84" s="164"/>
    </row>
    <row r="85" spans="2:13" ht="14.25" x14ac:dyDescent="0.2">
      <c r="B85" s="334">
        <v>1</v>
      </c>
      <c r="C85" s="80" t="s">
        <v>249</v>
      </c>
      <c r="D85" s="334" t="s">
        <v>203</v>
      </c>
      <c r="E85" s="334">
        <v>2017</v>
      </c>
      <c r="F85" s="80" t="s">
        <v>136</v>
      </c>
      <c r="G85" s="334" t="s">
        <v>250</v>
      </c>
      <c r="H85" s="80" t="s">
        <v>132</v>
      </c>
      <c r="I85" s="345">
        <v>0.17</v>
      </c>
      <c r="J85" s="339">
        <v>100</v>
      </c>
      <c r="K85" s="346">
        <f t="shared" si="1"/>
        <v>0.17</v>
      </c>
      <c r="L85" s="282" t="s">
        <v>125</v>
      </c>
      <c r="M85" s="164"/>
    </row>
    <row r="86" spans="2:13" ht="14.25" x14ac:dyDescent="0.2">
      <c r="B86" s="334">
        <v>1</v>
      </c>
      <c r="C86" s="80" t="s">
        <v>251</v>
      </c>
      <c r="D86" s="334" t="s">
        <v>252</v>
      </c>
      <c r="E86" s="334">
        <v>2010</v>
      </c>
      <c r="F86" s="80" t="s">
        <v>253</v>
      </c>
      <c r="G86" s="334" t="s">
        <v>230</v>
      </c>
      <c r="H86" s="80" t="s">
        <v>132</v>
      </c>
      <c r="I86" s="345">
        <v>0.14209999999999998</v>
      </c>
      <c r="J86" s="339">
        <v>72.930000000000007</v>
      </c>
      <c r="K86" s="346">
        <v>0.14209999999999998</v>
      </c>
      <c r="L86" s="282" t="s">
        <v>125</v>
      </c>
      <c r="M86" s="164"/>
    </row>
    <row r="87" spans="2:13" ht="14.25" x14ac:dyDescent="0.2">
      <c r="B87" s="334">
        <v>1</v>
      </c>
      <c r="C87" s="80" t="s">
        <v>254</v>
      </c>
      <c r="D87" s="334" t="s">
        <v>252</v>
      </c>
      <c r="E87" s="334">
        <v>2011</v>
      </c>
      <c r="F87" s="80" t="s">
        <v>253</v>
      </c>
      <c r="G87" s="334" t="s">
        <v>230</v>
      </c>
      <c r="H87" s="80" t="s">
        <v>132</v>
      </c>
      <c r="I87" s="345">
        <v>0.441</v>
      </c>
      <c r="J87" s="339">
        <v>72.930000000000007</v>
      </c>
      <c r="K87" s="346">
        <v>0.441</v>
      </c>
      <c r="L87" s="282" t="s">
        <v>125</v>
      </c>
      <c r="M87" s="164"/>
    </row>
    <row r="88" spans="2:13" ht="14.25" x14ac:dyDescent="0.2">
      <c r="B88" s="334">
        <v>1</v>
      </c>
      <c r="C88" s="80" t="s">
        <v>255</v>
      </c>
      <c r="D88" s="334" t="s">
        <v>252</v>
      </c>
      <c r="E88" s="334">
        <v>2011</v>
      </c>
      <c r="F88" s="80" t="s">
        <v>253</v>
      </c>
      <c r="G88" s="334" t="s">
        <v>230</v>
      </c>
      <c r="H88" s="80" t="s">
        <v>132</v>
      </c>
      <c r="I88" s="345">
        <v>0.17640000000000003</v>
      </c>
      <c r="J88" s="339">
        <v>72.930000000000007</v>
      </c>
      <c r="K88" s="346">
        <v>0.17640000000000003</v>
      </c>
      <c r="L88" s="282" t="s">
        <v>125</v>
      </c>
      <c r="M88" s="164"/>
    </row>
    <row r="89" spans="2:13" ht="14.25" x14ac:dyDescent="0.2">
      <c r="B89" s="334">
        <v>1</v>
      </c>
      <c r="C89" s="80" t="s">
        <v>256</v>
      </c>
      <c r="D89" s="334" t="s">
        <v>252</v>
      </c>
      <c r="E89" s="334">
        <v>2012</v>
      </c>
      <c r="F89" s="80" t="s">
        <v>253</v>
      </c>
      <c r="G89" s="334" t="s">
        <v>230</v>
      </c>
      <c r="H89" s="80" t="s">
        <v>132</v>
      </c>
      <c r="I89" s="345">
        <v>0.13720000000000002</v>
      </c>
      <c r="J89" s="339">
        <v>72.930000000000007</v>
      </c>
      <c r="K89" s="346">
        <v>0.13720000000000002</v>
      </c>
      <c r="L89" s="282" t="s">
        <v>125</v>
      </c>
      <c r="M89" s="164"/>
    </row>
    <row r="90" spans="2:13" ht="14.25" x14ac:dyDescent="0.2">
      <c r="B90" s="334">
        <v>1</v>
      </c>
      <c r="C90" s="80" t="s">
        <v>257</v>
      </c>
      <c r="D90" s="334" t="s">
        <v>258</v>
      </c>
      <c r="E90" s="334">
        <v>2013</v>
      </c>
      <c r="F90" s="80" t="s">
        <v>253</v>
      </c>
      <c r="G90" s="334" t="s">
        <v>250</v>
      </c>
      <c r="H90" s="80" t="s">
        <v>132</v>
      </c>
      <c r="I90" s="345">
        <v>0.1176</v>
      </c>
      <c r="J90" s="339">
        <v>72.930000000000007</v>
      </c>
      <c r="K90" s="346">
        <v>0.1176</v>
      </c>
      <c r="L90" s="282" t="s">
        <v>125</v>
      </c>
      <c r="M90" s="164"/>
    </row>
    <row r="91" spans="2:13" ht="14.25" x14ac:dyDescent="0.2">
      <c r="B91" s="334">
        <v>1</v>
      </c>
      <c r="C91" s="80" t="s">
        <v>259</v>
      </c>
      <c r="D91" s="334" t="s">
        <v>258</v>
      </c>
      <c r="E91" s="334">
        <v>2013</v>
      </c>
      <c r="F91" s="80" t="s">
        <v>253</v>
      </c>
      <c r="G91" s="334" t="s">
        <v>250</v>
      </c>
      <c r="H91" s="80" t="s">
        <v>132</v>
      </c>
      <c r="I91" s="345">
        <v>0.12740000000000001</v>
      </c>
      <c r="J91" s="339">
        <v>72.930000000000007</v>
      </c>
      <c r="K91" s="346">
        <v>0.12740000000000001</v>
      </c>
      <c r="L91" s="282" t="s">
        <v>125</v>
      </c>
      <c r="M91" s="164"/>
    </row>
    <row r="92" spans="2:13" ht="14.25" x14ac:dyDescent="0.2">
      <c r="B92" s="334">
        <v>1</v>
      </c>
      <c r="C92" s="80" t="s">
        <v>260</v>
      </c>
      <c r="D92" s="334" t="s">
        <v>258</v>
      </c>
      <c r="E92" s="334">
        <v>2014</v>
      </c>
      <c r="F92" s="80" t="s">
        <v>253</v>
      </c>
      <c r="G92" s="334" t="s">
        <v>250</v>
      </c>
      <c r="H92" s="80" t="s">
        <v>132</v>
      </c>
      <c r="I92" s="345">
        <v>5.3899999999999997E-2</v>
      </c>
      <c r="J92" s="339">
        <v>72.930000000000007</v>
      </c>
      <c r="K92" s="346">
        <v>5.3899999999999997E-2</v>
      </c>
      <c r="L92" s="282" t="s">
        <v>125</v>
      </c>
      <c r="M92" s="164"/>
    </row>
    <row r="93" spans="2:13" ht="14.25" x14ac:dyDescent="0.2">
      <c r="B93" s="334">
        <v>1</v>
      </c>
      <c r="C93" s="80" t="s">
        <v>261</v>
      </c>
      <c r="D93" s="334" t="s">
        <v>258</v>
      </c>
      <c r="E93" s="334">
        <v>2013</v>
      </c>
      <c r="F93" s="80" t="s">
        <v>253</v>
      </c>
      <c r="G93" s="334" t="s">
        <v>250</v>
      </c>
      <c r="H93" s="80" t="s">
        <v>132</v>
      </c>
      <c r="I93" s="345">
        <v>0.21364</v>
      </c>
      <c r="J93" s="339">
        <v>72.930000000000007</v>
      </c>
      <c r="K93" s="346">
        <v>0.21364</v>
      </c>
      <c r="L93" s="282" t="s">
        <v>125</v>
      </c>
      <c r="M93" s="164"/>
    </row>
    <row r="94" spans="2:13" ht="14.25" x14ac:dyDescent="0.2">
      <c r="B94" s="334">
        <v>1</v>
      </c>
      <c r="C94" s="80" t="s">
        <v>262</v>
      </c>
      <c r="D94" s="334" t="s">
        <v>252</v>
      </c>
      <c r="E94" s="334">
        <v>2014</v>
      </c>
      <c r="F94" s="80" t="s">
        <v>253</v>
      </c>
      <c r="G94" s="334" t="s">
        <v>250</v>
      </c>
      <c r="H94" s="80" t="s">
        <v>132</v>
      </c>
      <c r="I94" s="345">
        <v>5.3213999999999997E-2</v>
      </c>
      <c r="J94" s="339">
        <v>72.930000000000007</v>
      </c>
      <c r="K94" s="346">
        <v>5.3213999999999997E-2</v>
      </c>
      <c r="L94" s="282" t="s">
        <v>125</v>
      </c>
      <c r="M94" s="164"/>
    </row>
    <row r="95" spans="2:13" ht="14.25" x14ac:dyDescent="0.2">
      <c r="B95" s="334">
        <v>1</v>
      </c>
      <c r="C95" s="80" t="s">
        <v>263</v>
      </c>
      <c r="D95" s="334" t="s">
        <v>258</v>
      </c>
      <c r="E95" s="334">
        <v>2014</v>
      </c>
      <c r="F95" s="80" t="s">
        <v>253</v>
      </c>
      <c r="G95" s="334" t="s">
        <v>250</v>
      </c>
      <c r="H95" s="80" t="s">
        <v>132</v>
      </c>
      <c r="I95" s="345">
        <v>5.6056000000000002E-2</v>
      </c>
      <c r="J95" s="339">
        <v>72.930000000000007</v>
      </c>
      <c r="K95" s="346">
        <v>5.6056000000000002E-2</v>
      </c>
      <c r="L95" s="282" t="s">
        <v>125</v>
      </c>
      <c r="M95" s="164"/>
    </row>
    <row r="96" spans="2:13" ht="14.25" x14ac:dyDescent="0.2">
      <c r="B96" s="334">
        <v>1</v>
      </c>
      <c r="C96" s="80" t="s">
        <v>264</v>
      </c>
      <c r="D96" s="334" t="s">
        <v>252</v>
      </c>
      <c r="E96" s="334">
        <v>2017</v>
      </c>
      <c r="F96" s="80" t="s">
        <v>253</v>
      </c>
      <c r="G96" s="334" t="s">
        <v>250</v>
      </c>
      <c r="H96" s="80" t="s">
        <v>132</v>
      </c>
      <c r="I96" s="345">
        <v>0.21559999999999999</v>
      </c>
      <c r="J96" s="339">
        <v>72.930000000000007</v>
      </c>
      <c r="K96" s="346">
        <v>0.21559999999999999</v>
      </c>
      <c r="L96" s="282" t="s">
        <v>125</v>
      </c>
      <c r="M96" s="164"/>
    </row>
    <row r="97" spans="2:13" ht="14.25" x14ac:dyDescent="0.2">
      <c r="B97" s="334">
        <v>1</v>
      </c>
      <c r="C97" s="80" t="s">
        <v>265</v>
      </c>
      <c r="D97" s="334" t="s">
        <v>252</v>
      </c>
      <c r="E97" s="334">
        <v>2017</v>
      </c>
      <c r="F97" s="80" t="s">
        <v>253</v>
      </c>
      <c r="G97" s="334" t="s">
        <v>250</v>
      </c>
      <c r="H97" s="80" t="s">
        <v>132</v>
      </c>
      <c r="I97" s="345">
        <v>0.1666</v>
      </c>
      <c r="J97" s="339">
        <v>72.930000000000007</v>
      </c>
      <c r="K97" s="346">
        <v>0.1666</v>
      </c>
      <c r="L97" s="282" t="s">
        <v>125</v>
      </c>
      <c r="M97" s="164"/>
    </row>
    <row r="98" spans="2:13" ht="14.25" x14ac:dyDescent="0.2">
      <c r="B98" s="334">
        <v>1</v>
      </c>
      <c r="C98" s="80" t="s">
        <v>266</v>
      </c>
      <c r="D98" s="334" t="s">
        <v>167</v>
      </c>
      <c r="E98" s="334">
        <v>2017</v>
      </c>
      <c r="F98" s="80" t="s">
        <v>253</v>
      </c>
      <c r="G98" s="334" t="s">
        <v>250</v>
      </c>
      <c r="H98" s="80" t="s">
        <v>132</v>
      </c>
      <c r="I98" s="345">
        <v>0.83104</v>
      </c>
      <c r="J98" s="347" t="s">
        <v>897</v>
      </c>
      <c r="K98" s="346">
        <v>0.83104</v>
      </c>
      <c r="L98" s="282" t="s">
        <v>125</v>
      </c>
      <c r="M98" s="164"/>
    </row>
    <row r="99" spans="2:13" ht="14.25" x14ac:dyDescent="0.2">
      <c r="B99" s="334">
        <v>1</v>
      </c>
      <c r="C99" s="80" t="s">
        <v>267</v>
      </c>
      <c r="D99" s="334" t="s">
        <v>252</v>
      </c>
      <c r="E99" s="334">
        <v>2012</v>
      </c>
      <c r="F99" s="80" t="s">
        <v>268</v>
      </c>
      <c r="G99" s="334" t="s">
        <v>230</v>
      </c>
      <c r="H99" s="80" t="s">
        <v>132</v>
      </c>
      <c r="I99" s="345">
        <v>0.67620000000000002</v>
      </c>
      <c r="J99" s="347" t="s">
        <v>897</v>
      </c>
      <c r="K99" s="346">
        <v>0.67620000000000002</v>
      </c>
      <c r="L99" s="282" t="s">
        <v>125</v>
      </c>
      <c r="M99" s="164"/>
    </row>
    <row r="100" spans="2:13" ht="14.25" x14ac:dyDescent="0.2">
      <c r="B100" s="334">
        <v>1</v>
      </c>
      <c r="C100" s="80" t="s">
        <v>269</v>
      </c>
      <c r="D100" s="334" t="s">
        <v>270</v>
      </c>
      <c r="E100" s="334">
        <v>2012</v>
      </c>
      <c r="F100" s="80" t="s">
        <v>271</v>
      </c>
      <c r="G100" s="334" t="s">
        <v>230</v>
      </c>
      <c r="H100" s="80" t="s">
        <v>132</v>
      </c>
      <c r="I100" s="345">
        <v>0.96321000000000001</v>
      </c>
      <c r="J100" s="339">
        <v>100</v>
      </c>
      <c r="K100" s="346">
        <f>+I100*J100%</f>
        <v>0.96321000000000001</v>
      </c>
      <c r="L100" s="282" t="s">
        <v>125</v>
      </c>
      <c r="M100" s="164"/>
    </row>
    <row r="101" spans="2:13" ht="14.25" x14ac:dyDescent="0.2">
      <c r="B101" s="334">
        <v>1</v>
      </c>
      <c r="C101" s="80" t="s">
        <v>272</v>
      </c>
      <c r="D101" s="334" t="s">
        <v>270</v>
      </c>
      <c r="E101" s="334">
        <v>2011</v>
      </c>
      <c r="F101" s="80" t="s">
        <v>273</v>
      </c>
      <c r="G101" s="334" t="s">
        <v>230</v>
      </c>
      <c r="H101" s="80" t="s">
        <v>132</v>
      </c>
      <c r="I101" s="345">
        <v>2.7117050000000003</v>
      </c>
      <c r="J101" s="339">
        <v>100</v>
      </c>
      <c r="K101" s="346">
        <f>+I101*J101%</f>
        <v>2.7117050000000003</v>
      </c>
      <c r="L101" s="282" t="s">
        <v>125</v>
      </c>
      <c r="M101" s="164"/>
    </row>
    <row r="102" spans="2:13" ht="14.25" x14ac:dyDescent="0.2">
      <c r="B102" s="334">
        <v>1</v>
      </c>
      <c r="C102" s="80" t="s">
        <v>274</v>
      </c>
      <c r="D102" s="334" t="s">
        <v>270</v>
      </c>
      <c r="E102" s="334">
        <v>2015</v>
      </c>
      <c r="F102" s="80" t="s">
        <v>273</v>
      </c>
      <c r="G102" s="334" t="s">
        <v>250</v>
      </c>
      <c r="H102" s="80" t="s">
        <v>132</v>
      </c>
      <c r="I102" s="345">
        <v>0.93384999999999996</v>
      </c>
      <c r="J102" s="339">
        <v>100</v>
      </c>
      <c r="K102" s="346">
        <f>+I102*J102%</f>
        <v>0.93384999999999996</v>
      </c>
      <c r="L102" s="282" t="s">
        <v>125</v>
      </c>
      <c r="M102" s="164"/>
    </row>
    <row r="103" spans="2:13" thickBot="1" x14ac:dyDescent="0.25">
      <c r="B103" s="334"/>
      <c r="C103" s="80"/>
      <c r="D103" s="334"/>
      <c r="E103" s="334"/>
      <c r="F103" s="80"/>
      <c r="G103" s="334"/>
      <c r="H103" s="80"/>
      <c r="I103" s="345"/>
      <c r="J103" s="339"/>
      <c r="K103" s="346"/>
      <c r="L103" s="282"/>
      <c r="M103" s="164"/>
    </row>
    <row r="104" spans="2:13" thickBot="1" x14ac:dyDescent="0.25">
      <c r="B104" s="284">
        <f>+SUM(B12:B102)</f>
        <v>91</v>
      </c>
      <c r="C104" s="81" t="s">
        <v>275</v>
      </c>
      <c r="D104" s="348"/>
      <c r="E104" s="349"/>
      <c r="F104" s="348"/>
      <c r="G104" s="348"/>
      <c r="H104" s="348"/>
      <c r="I104" s="350">
        <f>+SUM(I12:I102)</f>
        <v>1012.2302717630224</v>
      </c>
      <c r="J104" s="351"/>
      <c r="K104" s="352">
        <f>+SUM(K12:K102)</f>
        <v>1012.2302717630224</v>
      </c>
      <c r="L104" s="353"/>
      <c r="M104" s="164"/>
    </row>
    <row r="105" spans="2:13" ht="14.25" x14ac:dyDescent="0.2">
      <c r="B105" s="80"/>
      <c r="C105" s="80"/>
      <c r="D105" s="80"/>
      <c r="E105" s="334"/>
      <c r="F105" s="80"/>
      <c r="G105" s="80"/>
      <c r="H105" s="80"/>
      <c r="I105" s="335"/>
      <c r="J105" s="336"/>
      <c r="K105" s="337"/>
      <c r="L105" s="283"/>
      <c r="M105" s="165"/>
    </row>
    <row r="106" spans="2:13" ht="14.25" x14ac:dyDescent="0.2">
      <c r="B106" s="334">
        <v>3</v>
      </c>
      <c r="C106" s="80" t="s">
        <v>895</v>
      </c>
      <c r="D106" s="334" t="s">
        <v>276</v>
      </c>
      <c r="E106" s="334"/>
      <c r="F106" s="80" t="s">
        <v>277</v>
      </c>
      <c r="G106" s="334"/>
      <c r="H106" s="80"/>
      <c r="I106" s="338">
        <v>626</v>
      </c>
      <c r="J106" s="339">
        <v>20</v>
      </c>
      <c r="K106" s="340">
        <v>125.2</v>
      </c>
      <c r="L106" s="341" t="s">
        <v>278</v>
      </c>
      <c r="M106" s="165"/>
    </row>
    <row r="107" spans="2:13" thickBot="1" x14ac:dyDescent="0.25">
      <c r="B107" s="80"/>
      <c r="C107" s="80"/>
      <c r="D107" s="334"/>
      <c r="E107" s="334"/>
      <c r="F107" s="80"/>
      <c r="G107" s="334"/>
      <c r="H107" s="80"/>
      <c r="I107" s="335"/>
      <c r="J107" s="342"/>
      <c r="K107" s="343"/>
      <c r="L107" s="344"/>
      <c r="M107" s="164"/>
    </row>
    <row r="108" spans="2:13" ht="15.75" thickBot="1" x14ac:dyDescent="0.3">
      <c r="B108" s="354">
        <f>+B104+B106</f>
        <v>94</v>
      </c>
      <c r="C108" s="321" t="s">
        <v>279</v>
      </c>
      <c r="D108" s="322"/>
      <c r="E108" s="323"/>
      <c r="F108" s="322"/>
      <c r="G108" s="322"/>
      <c r="H108" s="322"/>
      <c r="I108" s="324">
        <f>+I104+I106</f>
        <v>1638.2302717630223</v>
      </c>
      <c r="J108" s="325"/>
      <c r="K108" s="324">
        <f>+K104+K106</f>
        <v>1137.4302717630223</v>
      </c>
      <c r="L108" s="326"/>
    </row>
    <row r="109" spans="2:13" ht="14.25" x14ac:dyDescent="0.2">
      <c r="B109" s="47"/>
      <c r="C109" s="47"/>
      <c r="D109" s="47"/>
      <c r="E109" s="327"/>
      <c r="F109" s="47"/>
      <c r="G109" s="47"/>
      <c r="H109" s="47"/>
      <c r="I109" s="47"/>
      <c r="J109" s="47"/>
      <c r="K109" s="43"/>
      <c r="L109" s="328"/>
    </row>
    <row r="110" spans="2:13" ht="14.25" x14ac:dyDescent="0.2">
      <c r="B110" s="521" t="s">
        <v>894</v>
      </c>
      <c r="D110" s="47"/>
      <c r="E110" s="327"/>
      <c r="F110" s="47"/>
      <c r="G110" s="47"/>
      <c r="H110" s="47"/>
      <c r="I110" s="47"/>
      <c r="J110" s="47"/>
      <c r="K110" s="329"/>
      <c r="L110" s="330"/>
    </row>
    <row r="111" spans="2:13" ht="14.25" x14ac:dyDescent="0.2">
      <c r="B111" s="521" t="s">
        <v>893</v>
      </c>
      <c r="D111" s="47"/>
      <c r="E111" s="47"/>
      <c r="F111" s="47"/>
      <c r="G111" s="47"/>
      <c r="H111" s="47"/>
      <c r="I111" s="47"/>
      <c r="J111" s="47"/>
      <c r="K111" s="43"/>
      <c r="L111" s="328"/>
    </row>
    <row r="112" spans="2:13" ht="14.25" x14ac:dyDescent="0.2">
      <c r="B112" s="47"/>
      <c r="C112" s="47"/>
      <c r="D112" s="47"/>
      <c r="E112" s="47"/>
      <c r="F112" s="47"/>
      <c r="G112" s="47"/>
      <c r="H112" s="47"/>
      <c r="I112" s="47"/>
      <c r="J112" s="47"/>
      <c r="K112" s="43"/>
      <c r="L112" s="328"/>
    </row>
    <row r="113" spans="2:12" ht="14.25" x14ac:dyDescent="0.2">
      <c r="B113" s="47"/>
      <c r="C113" s="47"/>
      <c r="D113" s="47"/>
      <c r="E113" s="47"/>
      <c r="F113" s="47"/>
      <c r="G113" s="47"/>
      <c r="H113" s="47"/>
      <c r="I113" s="47"/>
      <c r="J113" s="47"/>
      <c r="K113" s="43"/>
      <c r="L113" s="328"/>
    </row>
    <row r="114" spans="2:12" ht="14.25" x14ac:dyDescent="0.2">
      <c r="B114" s="47"/>
      <c r="C114" s="331"/>
      <c r="D114" s="47"/>
      <c r="E114" s="47"/>
      <c r="F114" s="47"/>
      <c r="G114" s="47"/>
      <c r="H114" s="47"/>
      <c r="I114" s="47"/>
      <c r="J114" s="47"/>
      <c r="K114" s="43"/>
      <c r="L114" s="328"/>
    </row>
    <row r="115" spans="2:12" thickBot="1" x14ac:dyDescent="0.25">
      <c r="B115" s="47"/>
      <c r="C115" s="356" t="s">
        <v>1038</v>
      </c>
      <c r="D115" s="356" t="s">
        <v>118</v>
      </c>
      <c r="E115" s="356" t="s">
        <v>108</v>
      </c>
      <c r="F115" s="332"/>
      <c r="G115" s="47"/>
      <c r="H115" s="332"/>
      <c r="I115" s="332"/>
      <c r="J115" s="332"/>
      <c r="K115" s="332"/>
      <c r="L115" s="328"/>
    </row>
    <row r="116" spans="2:12" ht="14.25" x14ac:dyDescent="0.2">
      <c r="B116" s="47"/>
      <c r="C116" s="142"/>
      <c r="D116" s="142"/>
      <c r="E116" s="142"/>
      <c r="F116" s="332"/>
      <c r="G116" s="47"/>
      <c r="H116" s="592" t="s">
        <v>280</v>
      </c>
      <c r="I116" s="332"/>
      <c r="J116" s="332"/>
      <c r="K116" s="332"/>
      <c r="L116" s="328"/>
    </row>
    <row r="117" spans="2:12" ht="14.25" x14ac:dyDescent="0.2">
      <c r="B117" s="47"/>
      <c r="C117" s="80" t="s">
        <v>632</v>
      </c>
      <c r="D117" s="257">
        <v>59.816666824413524</v>
      </c>
      <c r="E117" s="80">
        <v>29</v>
      </c>
      <c r="F117" s="47"/>
      <c r="G117" s="47"/>
      <c r="H117" s="593" t="s">
        <v>281</v>
      </c>
      <c r="I117" s="333"/>
      <c r="J117" s="47"/>
      <c r="K117" s="47"/>
      <c r="L117" s="328"/>
    </row>
    <row r="118" spans="2:12" thickBot="1" x14ac:dyDescent="0.25">
      <c r="B118" s="47"/>
      <c r="C118" s="80" t="s">
        <v>633</v>
      </c>
      <c r="D118" s="257">
        <v>10.283604938608446</v>
      </c>
      <c r="E118" s="80">
        <v>24</v>
      </c>
      <c r="F118" s="47"/>
      <c r="G118" s="47"/>
      <c r="H118" s="594" t="s">
        <v>282</v>
      </c>
      <c r="I118" s="333"/>
      <c r="J118" s="47"/>
      <c r="K118" s="47"/>
      <c r="L118" s="328"/>
    </row>
    <row r="119" spans="2:12" x14ac:dyDescent="0.2">
      <c r="B119" s="311"/>
      <c r="C119" s="80" t="s">
        <v>634</v>
      </c>
      <c r="D119" s="257">
        <v>942.13000000000011</v>
      </c>
      <c r="E119" s="80">
        <v>38</v>
      </c>
      <c r="F119" s="311"/>
      <c r="G119" s="311"/>
      <c r="H119" s="311"/>
      <c r="I119" s="313"/>
      <c r="J119" s="311"/>
      <c r="K119" s="311"/>
      <c r="L119" s="319"/>
    </row>
    <row r="120" spans="2:12" ht="15.75" thickBot="1" x14ac:dyDescent="0.25">
      <c r="B120" s="311"/>
      <c r="C120" s="165"/>
      <c r="D120" s="253"/>
      <c r="E120" s="165"/>
      <c r="F120" s="311"/>
      <c r="G120" s="311"/>
      <c r="H120" s="311"/>
      <c r="I120" s="313"/>
      <c r="J120" s="311"/>
      <c r="K120" s="311"/>
      <c r="L120" s="319"/>
    </row>
    <row r="121" spans="2:12" ht="15.75" thickBot="1" x14ac:dyDescent="0.3">
      <c r="B121" s="311"/>
      <c r="C121" s="320" t="s">
        <v>784</v>
      </c>
      <c r="D121" s="357">
        <v>1012.2302717630221</v>
      </c>
      <c r="E121" s="320">
        <v>91</v>
      </c>
      <c r="F121" s="311"/>
      <c r="G121" s="311"/>
      <c r="H121" s="311"/>
      <c r="I121" s="313"/>
      <c r="J121" s="311"/>
      <c r="K121" s="311"/>
      <c r="L121" s="319"/>
    </row>
    <row r="122" spans="2:12" x14ac:dyDescent="0.25">
      <c r="F122" s="311"/>
      <c r="G122" s="311"/>
      <c r="H122" s="311"/>
      <c r="I122" s="311"/>
      <c r="J122" s="311"/>
      <c r="K122" s="312"/>
    </row>
  </sheetData>
  <pageMargins left="0.7" right="0.7" top="0.75" bottom="0.75" header="0.3" footer="0.3"/>
  <pageSetup paperSize="9" scale="42"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E5362-F1E6-456D-9A3C-B172208AF45A}">
  <sheetPr>
    <tabColor theme="8"/>
  </sheetPr>
  <dimension ref="A8:S70"/>
  <sheetViews>
    <sheetView showGridLines="0" topLeftCell="A10" zoomScaleNormal="100" workbookViewId="0">
      <selection activeCell="E75" sqref="E75"/>
    </sheetView>
  </sheetViews>
  <sheetFormatPr defaultColWidth="9.140625" defaultRowHeight="15" x14ac:dyDescent="0.25"/>
  <cols>
    <col min="1" max="1" width="5.7109375" style="13" customWidth="1"/>
    <col min="2" max="2" width="5.42578125" style="361" customWidth="1"/>
    <col min="3" max="3" width="39" style="358" customWidth="1"/>
    <col min="4" max="4" width="21.5703125" style="358" customWidth="1"/>
    <col min="5" max="5" width="14.85546875" style="358" customWidth="1"/>
    <col min="6" max="6" width="26.140625" style="358" bestFit="1" customWidth="1"/>
    <col min="7" max="7" width="14" style="358" customWidth="1"/>
    <col min="8" max="8" width="14.7109375" style="358" customWidth="1"/>
    <col min="9" max="9" width="16.85546875" style="359" customWidth="1"/>
    <col min="10" max="10" width="21" style="360" bestFit="1" customWidth="1"/>
    <col min="11" max="16384" width="9.140625" style="358"/>
  </cols>
  <sheetData>
    <row r="8" spans="2:19" x14ac:dyDescent="0.25">
      <c r="B8" s="299" t="s">
        <v>789</v>
      </c>
      <c r="F8" s="359"/>
      <c r="G8" s="359"/>
      <c r="H8" s="359"/>
    </row>
    <row r="9" spans="2:19" x14ac:dyDescent="0.25">
      <c r="B9" s="88" t="s">
        <v>1038</v>
      </c>
    </row>
    <row r="10" spans="2:19" ht="32.25" thickBot="1" x14ac:dyDescent="0.3">
      <c r="B10" s="305" t="s">
        <v>108</v>
      </c>
      <c r="C10" s="305" t="s">
        <v>109</v>
      </c>
      <c r="D10" s="305" t="s">
        <v>330</v>
      </c>
      <c r="E10" s="305" t="s">
        <v>111</v>
      </c>
      <c r="F10" s="305" t="s">
        <v>112</v>
      </c>
      <c r="G10" s="306" t="s">
        <v>787</v>
      </c>
      <c r="H10" s="306" t="s">
        <v>115</v>
      </c>
      <c r="I10" s="306" t="s">
        <v>786</v>
      </c>
      <c r="J10" s="306" t="s">
        <v>117</v>
      </c>
    </row>
    <row r="11" spans="2:19" ht="14.25" x14ac:dyDescent="0.2">
      <c r="B11" s="355"/>
      <c r="C11" s="355"/>
      <c r="D11" s="355"/>
      <c r="E11" s="355"/>
      <c r="F11" s="355"/>
      <c r="G11" s="369"/>
      <c r="H11" s="369"/>
      <c r="I11" s="369"/>
      <c r="J11" s="369"/>
      <c r="K11" s="370"/>
    </row>
    <row r="12" spans="2:19" ht="14.25" x14ac:dyDescent="0.2">
      <c r="B12" s="371" t="s">
        <v>331</v>
      </c>
      <c r="C12" s="370"/>
      <c r="D12" s="372"/>
      <c r="E12" s="372"/>
      <c r="F12" s="372"/>
      <c r="G12" s="373"/>
      <c r="H12" s="373"/>
      <c r="I12" s="374"/>
      <c r="J12" s="375"/>
      <c r="K12" s="370"/>
      <c r="L12" s="362"/>
      <c r="M12" s="362"/>
      <c r="N12" s="362"/>
      <c r="O12" s="362"/>
      <c r="P12" s="362"/>
      <c r="Q12" s="362"/>
      <c r="R12" s="362"/>
      <c r="S12" s="362"/>
    </row>
    <row r="13" spans="2:19" ht="14.25" x14ac:dyDescent="0.2">
      <c r="B13" s="376"/>
      <c r="C13" s="377"/>
      <c r="D13" s="372"/>
      <c r="E13" s="372"/>
      <c r="F13" s="372"/>
      <c r="G13" s="373"/>
      <c r="H13" s="373"/>
      <c r="I13" s="374"/>
      <c r="J13" s="375"/>
      <c r="K13" s="370"/>
      <c r="L13" s="362"/>
      <c r="M13" s="362"/>
      <c r="N13" s="362"/>
      <c r="O13" s="362"/>
      <c r="P13" s="362"/>
      <c r="Q13" s="362"/>
      <c r="R13" s="362"/>
      <c r="S13" s="362"/>
    </row>
    <row r="14" spans="2:19" ht="14.25" x14ac:dyDescent="0.2">
      <c r="B14" s="376">
        <v>1</v>
      </c>
      <c r="C14" s="378" t="s">
        <v>332</v>
      </c>
      <c r="D14" s="378" t="s">
        <v>333</v>
      </c>
      <c r="E14" s="379">
        <v>2005</v>
      </c>
      <c r="F14" s="378" t="s">
        <v>335</v>
      </c>
      <c r="G14" s="380">
        <v>70</v>
      </c>
      <c r="H14" s="381">
        <f t="shared" ref="H14:H51" si="0">0.833*0.3*100</f>
        <v>24.99</v>
      </c>
      <c r="I14" s="382">
        <f>+G14</f>
        <v>70</v>
      </c>
      <c r="J14" s="383" t="s">
        <v>125</v>
      </c>
      <c r="K14" s="370"/>
      <c r="L14" s="362"/>
      <c r="M14" s="362"/>
      <c r="N14" s="362"/>
      <c r="O14" s="362"/>
      <c r="P14" s="362"/>
      <c r="Q14" s="362"/>
      <c r="R14" s="362"/>
      <c r="S14" s="362"/>
    </row>
    <row r="15" spans="2:19" ht="14.25" x14ac:dyDescent="0.2">
      <c r="B15" s="376">
        <v>1</v>
      </c>
      <c r="C15" s="378" t="s">
        <v>336</v>
      </c>
      <c r="D15" s="378" t="s">
        <v>333</v>
      </c>
      <c r="E15" s="379">
        <v>2014</v>
      </c>
      <c r="F15" s="378" t="s">
        <v>335</v>
      </c>
      <c r="G15" s="380">
        <v>12</v>
      </c>
      <c r="H15" s="381">
        <f t="shared" si="0"/>
        <v>24.99</v>
      </c>
      <c r="I15" s="382">
        <f>+G15</f>
        <v>12</v>
      </c>
      <c r="J15" s="383" t="s">
        <v>125</v>
      </c>
      <c r="K15" s="370"/>
      <c r="L15" s="362"/>
      <c r="M15" s="362"/>
      <c r="N15" s="362"/>
      <c r="O15" s="362"/>
      <c r="P15" s="362"/>
      <c r="Q15" s="362"/>
      <c r="R15" s="362"/>
      <c r="S15" s="362"/>
    </row>
    <row r="16" spans="2:19" ht="14.25" x14ac:dyDescent="0.2">
      <c r="B16" s="376">
        <v>1</v>
      </c>
      <c r="C16" s="378" t="s">
        <v>337</v>
      </c>
      <c r="D16" s="378" t="s">
        <v>338</v>
      </c>
      <c r="E16" s="379">
        <v>1996</v>
      </c>
      <c r="F16" s="378" t="s">
        <v>335</v>
      </c>
      <c r="G16" s="380">
        <v>2.6</v>
      </c>
      <c r="H16" s="381">
        <f t="shared" si="0"/>
        <v>24.99</v>
      </c>
      <c r="I16" s="382">
        <f>+G16</f>
        <v>2.6</v>
      </c>
      <c r="J16" s="383" t="s">
        <v>125</v>
      </c>
      <c r="K16" s="370"/>
    </row>
    <row r="17" spans="2:11" ht="14.25" x14ac:dyDescent="0.2">
      <c r="B17" s="376">
        <v>1</v>
      </c>
      <c r="C17" s="378" t="s">
        <v>341</v>
      </c>
      <c r="D17" s="378" t="s">
        <v>340</v>
      </c>
      <c r="E17" s="379">
        <v>2019</v>
      </c>
      <c r="F17" s="378" t="s">
        <v>335</v>
      </c>
      <c r="G17" s="380">
        <v>39.599999999999994</v>
      </c>
      <c r="H17" s="381">
        <f>0.833*0.3*100</f>
        <v>24.99</v>
      </c>
      <c r="I17" s="382">
        <f t="shared" ref="I17:I51" si="1">+G17</f>
        <v>39.599999999999994</v>
      </c>
      <c r="J17" s="383" t="s">
        <v>125</v>
      </c>
      <c r="K17" s="384"/>
    </row>
    <row r="18" spans="2:11" ht="14.25" x14ac:dyDescent="0.2">
      <c r="B18" s="376">
        <v>1</v>
      </c>
      <c r="C18" s="378" t="s">
        <v>342</v>
      </c>
      <c r="D18" s="378" t="s">
        <v>340</v>
      </c>
      <c r="E18" s="379">
        <v>2004</v>
      </c>
      <c r="F18" s="378" t="s">
        <v>335</v>
      </c>
      <c r="G18" s="380">
        <v>15.84</v>
      </c>
      <c r="H18" s="381">
        <f t="shared" si="0"/>
        <v>24.99</v>
      </c>
      <c r="I18" s="382">
        <f t="shared" si="1"/>
        <v>15.84</v>
      </c>
      <c r="J18" s="383" t="s">
        <v>125</v>
      </c>
      <c r="K18" s="370"/>
    </row>
    <row r="19" spans="2:11" ht="14.25" x14ac:dyDescent="0.2">
      <c r="B19" s="376">
        <v>1</v>
      </c>
      <c r="C19" s="378" t="s">
        <v>343</v>
      </c>
      <c r="D19" s="378" t="s">
        <v>338</v>
      </c>
      <c r="E19" s="379">
        <v>1999</v>
      </c>
      <c r="F19" s="378" t="s">
        <v>335</v>
      </c>
      <c r="G19" s="380">
        <v>3.15</v>
      </c>
      <c r="H19" s="381">
        <f t="shared" si="0"/>
        <v>24.99</v>
      </c>
      <c r="I19" s="382">
        <f t="shared" si="1"/>
        <v>3.15</v>
      </c>
      <c r="J19" s="383" t="s">
        <v>125</v>
      </c>
      <c r="K19" s="370"/>
    </row>
    <row r="20" spans="2:11" ht="14.25" x14ac:dyDescent="0.2">
      <c r="B20" s="376">
        <v>1</v>
      </c>
      <c r="C20" s="378" t="s">
        <v>344</v>
      </c>
      <c r="D20" s="378" t="s">
        <v>338</v>
      </c>
      <c r="E20" s="379">
        <v>2001</v>
      </c>
      <c r="F20" s="378" t="s">
        <v>335</v>
      </c>
      <c r="G20" s="380">
        <v>4.2</v>
      </c>
      <c r="H20" s="381">
        <f t="shared" si="0"/>
        <v>24.99</v>
      </c>
      <c r="I20" s="382">
        <f t="shared" si="1"/>
        <v>4.2</v>
      </c>
      <c r="J20" s="383" t="s">
        <v>125</v>
      </c>
      <c r="K20" s="370"/>
    </row>
    <row r="21" spans="2:11" ht="14.25" x14ac:dyDescent="0.2">
      <c r="B21" s="376">
        <v>1</v>
      </c>
      <c r="C21" s="378" t="s">
        <v>345</v>
      </c>
      <c r="D21" s="378" t="s">
        <v>338</v>
      </c>
      <c r="E21" s="379">
        <v>2002</v>
      </c>
      <c r="F21" s="378" t="s">
        <v>335</v>
      </c>
      <c r="G21" s="380">
        <v>14.4</v>
      </c>
      <c r="H21" s="381">
        <f t="shared" si="0"/>
        <v>24.99</v>
      </c>
      <c r="I21" s="382">
        <f t="shared" si="1"/>
        <v>14.4</v>
      </c>
      <c r="J21" s="383" t="s">
        <v>125</v>
      </c>
      <c r="K21" s="370"/>
    </row>
    <row r="22" spans="2:11" ht="14.25" x14ac:dyDescent="0.2">
      <c r="B22" s="376">
        <v>1</v>
      </c>
      <c r="C22" s="378" t="s">
        <v>346</v>
      </c>
      <c r="D22" s="378" t="s">
        <v>338</v>
      </c>
      <c r="E22" s="379">
        <v>2005</v>
      </c>
      <c r="F22" s="378" t="s">
        <v>335</v>
      </c>
      <c r="G22" s="380">
        <v>12</v>
      </c>
      <c r="H22" s="381">
        <f t="shared" si="0"/>
        <v>24.99</v>
      </c>
      <c r="I22" s="382">
        <f t="shared" si="1"/>
        <v>12</v>
      </c>
      <c r="J22" s="383" t="s">
        <v>125</v>
      </c>
      <c r="K22" s="370"/>
    </row>
    <row r="23" spans="2:11" ht="14.25" x14ac:dyDescent="0.2">
      <c r="B23" s="376">
        <v>1</v>
      </c>
      <c r="C23" s="378" t="s">
        <v>347</v>
      </c>
      <c r="D23" s="378" t="s">
        <v>333</v>
      </c>
      <c r="E23" s="379">
        <v>2001</v>
      </c>
      <c r="F23" s="378" t="s">
        <v>335</v>
      </c>
      <c r="G23" s="380">
        <v>6.6</v>
      </c>
      <c r="H23" s="381">
        <f t="shared" si="0"/>
        <v>24.99</v>
      </c>
      <c r="I23" s="382">
        <f t="shared" si="1"/>
        <v>6.6</v>
      </c>
      <c r="J23" s="383" t="s">
        <v>125</v>
      </c>
      <c r="K23" s="370"/>
    </row>
    <row r="24" spans="2:11" ht="14.25" x14ac:dyDescent="0.2">
      <c r="B24" s="376">
        <v>1</v>
      </c>
      <c r="C24" s="378" t="s">
        <v>348</v>
      </c>
      <c r="D24" s="378" t="s">
        <v>333</v>
      </c>
      <c r="E24" s="379">
        <v>2001</v>
      </c>
      <c r="F24" s="378" t="s">
        <v>335</v>
      </c>
      <c r="G24" s="380">
        <v>9.6</v>
      </c>
      <c r="H24" s="381">
        <f t="shared" si="0"/>
        <v>24.99</v>
      </c>
      <c r="I24" s="382">
        <f t="shared" si="1"/>
        <v>9.6</v>
      </c>
      <c r="J24" s="383" t="s">
        <v>125</v>
      </c>
      <c r="K24" s="370"/>
    </row>
    <row r="25" spans="2:11" ht="14.25" x14ac:dyDescent="0.2">
      <c r="B25" s="376">
        <v>1</v>
      </c>
      <c r="C25" s="378" t="s">
        <v>349</v>
      </c>
      <c r="D25" s="378" t="s">
        <v>333</v>
      </c>
      <c r="E25" s="379">
        <v>2011</v>
      </c>
      <c r="F25" s="378" t="s">
        <v>335</v>
      </c>
      <c r="G25" s="380">
        <v>17</v>
      </c>
      <c r="H25" s="381">
        <f t="shared" si="0"/>
        <v>24.99</v>
      </c>
      <c r="I25" s="382">
        <f t="shared" si="1"/>
        <v>17</v>
      </c>
      <c r="J25" s="383" t="s">
        <v>125</v>
      </c>
      <c r="K25" s="370"/>
    </row>
    <row r="26" spans="2:11" ht="14.25" x14ac:dyDescent="0.2">
      <c r="B26" s="376">
        <v>1</v>
      </c>
      <c r="C26" s="378" t="s">
        <v>350</v>
      </c>
      <c r="D26" s="378" t="s">
        <v>340</v>
      </c>
      <c r="E26" s="379">
        <v>2002</v>
      </c>
      <c r="F26" s="378" t="s">
        <v>335</v>
      </c>
      <c r="G26" s="380">
        <v>9</v>
      </c>
      <c r="H26" s="381">
        <f t="shared" si="0"/>
        <v>24.99</v>
      </c>
      <c r="I26" s="382">
        <f t="shared" si="1"/>
        <v>9</v>
      </c>
      <c r="J26" s="383" t="s">
        <v>125</v>
      </c>
      <c r="K26" s="370"/>
    </row>
    <row r="27" spans="2:11" ht="14.25" x14ac:dyDescent="0.2">
      <c r="B27" s="376">
        <v>1</v>
      </c>
      <c r="C27" s="378" t="s">
        <v>351</v>
      </c>
      <c r="D27" s="378" t="s">
        <v>352</v>
      </c>
      <c r="E27" s="379">
        <v>2008</v>
      </c>
      <c r="F27" s="378" t="s">
        <v>335</v>
      </c>
      <c r="G27" s="380">
        <v>34</v>
      </c>
      <c r="H27" s="381">
        <f t="shared" si="0"/>
        <v>24.99</v>
      </c>
      <c r="I27" s="382">
        <f t="shared" si="1"/>
        <v>34</v>
      </c>
      <c r="J27" s="383" t="s">
        <v>125</v>
      </c>
      <c r="K27" s="370"/>
    </row>
    <row r="28" spans="2:11" ht="14.25" x14ac:dyDescent="0.2">
      <c r="B28" s="376">
        <v>1</v>
      </c>
      <c r="C28" s="378" t="s">
        <v>353</v>
      </c>
      <c r="D28" s="378" t="s">
        <v>354</v>
      </c>
      <c r="E28" s="379">
        <v>2019</v>
      </c>
      <c r="F28" s="378" t="s">
        <v>335</v>
      </c>
      <c r="G28" s="380">
        <v>15</v>
      </c>
      <c r="H28" s="381">
        <f t="shared" si="0"/>
        <v>24.99</v>
      </c>
      <c r="I28" s="382">
        <f t="shared" si="1"/>
        <v>15</v>
      </c>
      <c r="J28" s="383" t="s">
        <v>125</v>
      </c>
      <c r="K28" s="370"/>
    </row>
    <row r="29" spans="2:11" ht="14.25" x14ac:dyDescent="0.2">
      <c r="B29" s="376">
        <v>1</v>
      </c>
      <c r="C29" s="378" t="s">
        <v>355</v>
      </c>
      <c r="D29" s="378" t="s">
        <v>356</v>
      </c>
      <c r="E29" s="379">
        <v>2010</v>
      </c>
      <c r="F29" s="378" t="s">
        <v>335</v>
      </c>
      <c r="G29" s="380">
        <v>26</v>
      </c>
      <c r="H29" s="381">
        <f t="shared" si="0"/>
        <v>24.99</v>
      </c>
      <c r="I29" s="382">
        <f t="shared" si="1"/>
        <v>26</v>
      </c>
      <c r="J29" s="383" t="s">
        <v>125</v>
      </c>
      <c r="K29" s="370"/>
    </row>
    <row r="30" spans="2:11" ht="14.25" x14ac:dyDescent="0.2">
      <c r="B30" s="376">
        <v>1</v>
      </c>
      <c r="C30" s="378" t="s">
        <v>357</v>
      </c>
      <c r="D30" s="378" t="s">
        <v>356</v>
      </c>
      <c r="E30" s="379">
        <v>2009</v>
      </c>
      <c r="F30" s="378" t="s">
        <v>335</v>
      </c>
      <c r="G30" s="380">
        <v>50</v>
      </c>
      <c r="H30" s="381">
        <f t="shared" si="0"/>
        <v>24.99</v>
      </c>
      <c r="I30" s="382">
        <f t="shared" si="1"/>
        <v>50</v>
      </c>
      <c r="J30" s="383" t="s">
        <v>125</v>
      </c>
      <c r="K30" s="370"/>
    </row>
    <row r="31" spans="2:11" ht="14.25" x14ac:dyDescent="0.2">
      <c r="B31" s="376">
        <v>1</v>
      </c>
      <c r="C31" s="378" t="s">
        <v>358</v>
      </c>
      <c r="D31" s="378" t="s">
        <v>354</v>
      </c>
      <c r="E31" s="379">
        <v>2010</v>
      </c>
      <c r="F31" s="378" t="s">
        <v>335</v>
      </c>
      <c r="G31" s="380">
        <v>30</v>
      </c>
      <c r="H31" s="381">
        <f t="shared" si="0"/>
        <v>24.99</v>
      </c>
      <c r="I31" s="382">
        <f t="shared" si="1"/>
        <v>30</v>
      </c>
      <c r="J31" s="383" t="s">
        <v>125</v>
      </c>
      <c r="K31" s="370"/>
    </row>
    <row r="32" spans="2:11" ht="14.25" x14ac:dyDescent="0.2">
      <c r="B32" s="376">
        <v>1</v>
      </c>
      <c r="C32" s="378" t="s">
        <v>359</v>
      </c>
      <c r="D32" s="378" t="s">
        <v>340</v>
      </c>
      <c r="E32" s="379">
        <v>2001</v>
      </c>
      <c r="F32" s="378" t="s">
        <v>335</v>
      </c>
      <c r="G32" s="380">
        <v>9.6</v>
      </c>
      <c r="H32" s="381">
        <f t="shared" si="0"/>
        <v>24.99</v>
      </c>
      <c r="I32" s="382">
        <f t="shared" si="1"/>
        <v>9.6</v>
      </c>
      <c r="J32" s="383" t="s">
        <v>125</v>
      </c>
      <c r="K32" s="370"/>
    </row>
    <row r="33" spans="2:11" ht="14.25" x14ac:dyDescent="0.2">
      <c r="B33" s="376">
        <v>1</v>
      </c>
      <c r="C33" s="378" t="s">
        <v>1040</v>
      </c>
      <c r="D33" s="378" t="s">
        <v>333</v>
      </c>
      <c r="E33" s="379" t="s">
        <v>1041</v>
      </c>
      <c r="F33" s="378" t="s">
        <v>335</v>
      </c>
      <c r="G33" s="380">
        <v>15</v>
      </c>
      <c r="H33" s="381">
        <f t="shared" si="0"/>
        <v>24.99</v>
      </c>
      <c r="I33" s="382">
        <f t="shared" si="1"/>
        <v>15</v>
      </c>
      <c r="J33" s="383" t="s">
        <v>125</v>
      </c>
      <c r="K33" s="370"/>
    </row>
    <row r="34" spans="2:11" ht="14.25" x14ac:dyDescent="0.2">
      <c r="B34" s="376">
        <v>1</v>
      </c>
      <c r="C34" s="378" t="s">
        <v>360</v>
      </c>
      <c r="D34" s="378" t="s">
        <v>340</v>
      </c>
      <c r="E34" s="379">
        <v>2002</v>
      </c>
      <c r="F34" s="378" t="s">
        <v>335</v>
      </c>
      <c r="G34" s="380">
        <v>24.599999999999994</v>
      </c>
      <c r="H34" s="381">
        <f t="shared" si="0"/>
        <v>24.99</v>
      </c>
      <c r="I34" s="382">
        <f t="shared" si="1"/>
        <v>24.599999999999994</v>
      </c>
      <c r="J34" s="383" t="s">
        <v>125</v>
      </c>
      <c r="K34" s="370"/>
    </row>
    <row r="35" spans="2:11" ht="14.25" x14ac:dyDescent="0.2">
      <c r="B35" s="376">
        <v>1</v>
      </c>
      <c r="C35" s="378" t="s">
        <v>361</v>
      </c>
      <c r="D35" s="378" t="s">
        <v>362</v>
      </c>
      <c r="E35" s="379">
        <v>2001</v>
      </c>
      <c r="F35" s="378" t="s">
        <v>335</v>
      </c>
      <c r="G35" s="385">
        <v>1.8</v>
      </c>
      <c r="H35" s="381">
        <f t="shared" si="0"/>
        <v>24.99</v>
      </c>
      <c r="I35" s="382">
        <f t="shared" si="1"/>
        <v>1.8</v>
      </c>
      <c r="J35" s="383" t="s">
        <v>125</v>
      </c>
      <c r="K35" s="370"/>
    </row>
    <row r="36" spans="2:11" ht="14.25" x14ac:dyDescent="0.2">
      <c r="B36" s="376">
        <v>1</v>
      </c>
      <c r="C36" s="378" t="s">
        <v>363</v>
      </c>
      <c r="D36" s="378" t="s">
        <v>338</v>
      </c>
      <c r="E36" s="379">
        <v>2001</v>
      </c>
      <c r="F36" s="378" t="s">
        <v>335</v>
      </c>
      <c r="G36" s="385">
        <v>18</v>
      </c>
      <c r="H36" s="386">
        <f t="shared" si="0"/>
        <v>24.99</v>
      </c>
      <c r="I36" s="387">
        <f t="shared" si="1"/>
        <v>18</v>
      </c>
      <c r="J36" s="383" t="s">
        <v>125</v>
      </c>
      <c r="K36" s="370"/>
    </row>
    <row r="37" spans="2:11" ht="14.25" x14ac:dyDescent="0.2">
      <c r="B37" s="376">
        <v>1</v>
      </c>
      <c r="C37" s="378" t="s">
        <v>364</v>
      </c>
      <c r="D37" s="378" t="s">
        <v>338</v>
      </c>
      <c r="E37" s="379">
        <v>2012</v>
      </c>
      <c r="F37" s="378" t="s">
        <v>335</v>
      </c>
      <c r="G37" s="385">
        <v>38</v>
      </c>
      <c r="H37" s="386">
        <f t="shared" si="0"/>
        <v>24.99</v>
      </c>
      <c r="I37" s="387">
        <f t="shared" si="1"/>
        <v>38</v>
      </c>
      <c r="J37" s="383" t="s">
        <v>125</v>
      </c>
      <c r="K37" s="370"/>
    </row>
    <row r="38" spans="2:11" ht="14.25" x14ac:dyDescent="0.2">
      <c r="B38" s="376">
        <v>1</v>
      </c>
      <c r="C38" s="378" t="s">
        <v>365</v>
      </c>
      <c r="D38" s="378" t="s">
        <v>352</v>
      </c>
      <c r="E38" s="379">
        <v>2005</v>
      </c>
      <c r="F38" s="378" t="s">
        <v>335</v>
      </c>
      <c r="G38" s="385">
        <v>15.84</v>
      </c>
      <c r="H38" s="386">
        <f t="shared" si="0"/>
        <v>24.99</v>
      </c>
      <c r="I38" s="387">
        <f t="shared" si="1"/>
        <v>15.84</v>
      </c>
      <c r="J38" s="383" t="s">
        <v>125</v>
      </c>
      <c r="K38" s="370"/>
    </row>
    <row r="39" spans="2:11" ht="14.25" x14ac:dyDescent="0.2">
      <c r="B39" s="376">
        <v>1</v>
      </c>
      <c r="C39" s="378" t="s">
        <v>366</v>
      </c>
      <c r="D39" s="378" t="s">
        <v>340</v>
      </c>
      <c r="E39" s="379">
        <v>2001</v>
      </c>
      <c r="F39" s="378" t="s">
        <v>335</v>
      </c>
      <c r="G39" s="385">
        <v>13.799999999999997</v>
      </c>
      <c r="H39" s="386">
        <f t="shared" si="0"/>
        <v>24.99</v>
      </c>
      <c r="I39" s="387">
        <f t="shared" si="1"/>
        <v>13.799999999999997</v>
      </c>
      <c r="J39" s="383" t="s">
        <v>125</v>
      </c>
      <c r="K39" s="370"/>
    </row>
    <row r="40" spans="2:11" ht="14.25" x14ac:dyDescent="0.2">
      <c r="B40" s="376">
        <v>1</v>
      </c>
      <c r="C40" s="378" t="s">
        <v>367</v>
      </c>
      <c r="D40" s="378" t="s">
        <v>338</v>
      </c>
      <c r="E40" s="379">
        <v>2000</v>
      </c>
      <c r="F40" s="378" t="s">
        <v>335</v>
      </c>
      <c r="G40" s="385">
        <v>5.25</v>
      </c>
      <c r="H40" s="386">
        <f t="shared" si="0"/>
        <v>24.99</v>
      </c>
      <c r="I40" s="387">
        <f t="shared" si="1"/>
        <v>5.25</v>
      </c>
      <c r="J40" s="383" t="s">
        <v>125</v>
      </c>
      <c r="K40" s="370"/>
    </row>
    <row r="41" spans="2:11" ht="14.25" x14ac:dyDescent="0.2">
      <c r="B41" s="376">
        <v>1</v>
      </c>
      <c r="C41" s="378" t="s">
        <v>368</v>
      </c>
      <c r="D41" s="378" t="s">
        <v>340</v>
      </c>
      <c r="E41" s="379">
        <v>2002</v>
      </c>
      <c r="F41" s="378" t="s">
        <v>335</v>
      </c>
      <c r="G41" s="385">
        <v>6</v>
      </c>
      <c r="H41" s="386">
        <f t="shared" si="0"/>
        <v>24.99</v>
      </c>
      <c r="I41" s="387">
        <f t="shared" si="1"/>
        <v>6</v>
      </c>
      <c r="J41" s="383" t="s">
        <v>125</v>
      </c>
      <c r="K41" s="370"/>
    </row>
    <row r="42" spans="2:11" ht="14.25" x14ac:dyDescent="0.2">
      <c r="B42" s="376">
        <v>1</v>
      </c>
      <c r="C42" s="378" t="s">
        <v>369</v>
      </c>
      <c r="D42" s="378" t="s">
        <v>370</v>
      </c>
      <c r="E42" s="379">
        <v>1998</v>
      </c>
      <c r="F42" s="378" t="s">
        <v>335</v>
      </c>
      <c r="G42" s="385">
        <v>3.4</v>
      </c>
      <c r="H42" s="386">
        <f t="shared" si="0"/>
        <v>24.99</v>
      </c>
      <c r="I42" s="387">
        <f t="shared" si="1"/>
        <v>3.4</v>
      </c>
      <c r="J42" s="383" t="s">
        <v>125</v>
      </c>
      <c r="K42" s="370"/>
    </row>
    <row r="43" spans="2:11" ht="14.25" x14ac:dyDescent="0.2">
      <c r="B43" s="376">
        <v>1</v>
      </c>
      <c r="C43" s="378" t="s">
        <v>371</v>
      </c>
      <c r="D43" s="378" t="s">
        <v>333</v>
      </c>
      <c r="E43" s="379">
        <v>2011</v>
      </c>
      <c r="F43" s="378" t="s">
        <v>335</v>
      </c>
      <c r="G43" s="385">
        <v>54</v>
      </c>
      <c r="H43" s="386">
        <f t="shared" si="0"/>
        <v>24.99</v>
      </c>
      <c r="I43" s="387">
        <f t="shared" si="1"/>
        <v>54</v>
      </c>
      <c r="J43" s="383" t="s">
        <v>125</v>
      </c>
      <c r="K43" s="370"/>
    </row>
    <row r="44" spans="2:11" ht="14.25" x14ac:dyDescent="0.2">
      <c r="B44" s="376">
        <v>1</v>
      </c>
      <c r="C44" s="378" t="s">
        <v>1042</v>
      </c>
      <c r="D44" s="378" t="s">
        <v>333</v>
      </c>
      <c r="E44" s="379" t="s">
        <v>1041</v>
      </c>
      <c r="F44" s="378" t="s">
        <v>335</v>
      </c>
      <c r="G44" s="385">
        <v>35</v>
      </c>
      <c r="H44" s="386">
        <f t="shared" si="0"/>
        <v>24.99</v>
      </c>
      <c r="I44" s="387">
        <f t="shared" si="1"/>
        <v>35</v>
      </c>
      <c r="J44" s="383" t="s">
        <v>125</v>
      </c>
      <c r="K44" s="370"/>
    </row>
    <row r="45" spans="2:11" ht="14.25" x14ac:dyDescent="0.2">
      <c r="B45" s="376">
        <v>1</v>
      </c>
      <c r="C45" s="378" t="s">
        <v>373</v>
      </c>
      <c r="D45" s="378" t="s">
        <v>340</v>
      </c>
      <c r="E45" s="379">
        <v>2019</v>
      </c>
      <c r="F45" s="378" t="s">
        <v>335</v>
      </c>
      <c r="G45" s="385">
        <v>13.2</v>
      </c>
      <c r="H45" s="381">
        <f>0.833*0.3*100</f>
        <v>24.99</v>
      </c>
      <c r="I45" s="387">
        <f t="shared" si="1"/>
        <v>13.2</v>
      </c>
      <c r="J45" s="383" t="s">
        <v>125</v>
      </c>
      <c r="K45" s="384"/>
    </row>
    <row r="46" spans="2:11" ht="14.25" x14ac:dyDescent="0.2">
      <c r="B46" s="376">
        <v>1</v>
      </c>
      <c r="C46" s="378" t="s">
        <v>374</v>
      </c>
      <c r="D46" s="378" t="s">
        <v>333</v>
      </c>
      <c r="E46" s="379">
        <v>2007</v>
      </c>
      <c r="F46" s="378" t="s">
        <v>335</v>
      </c>
      <c r="G46" s="385">
        <v>10.02</v>
      </c>
      <c r="H46" s="386">
        <f t="shared" si="0"/>
        <v>24.99</v>
      </c>
      <c r="I46" s="387">
        <f t="shared" si="1"/>
        <v>10.02</v>
      </c>
      <c r="J46" s="383" t="s">
        <v>125</v>
      </c>
      <c r="K46" s="370"/>
    </row>
    <row r="47" spans="2:11" ht="14.25" x14ac:dyDescent="0.2">
      <c r="B47" s="376">
        <v>1</v>
      </c>
      <c r="C47" s="378" t="s">
        <v>375</v>
      </c>
      <c r="D47" s="378" t="s">
        <v>338</v>
      </c>
      <c r="E47" s="379">
        <v>2019</v>
      </c>
      <c r="F47" s="378" t="s">
        <v>335</v>
      </c>
      <c r="G47" s="385">
        <v>12.5</v>
      </c>
      <c r="H47" s="381">
        <f t="shared" si="0"/>
        <v>24.99</v>
      </c>
      <c r="I47" s="387">
        <f t="shared" si="1"/>
        <v>12.5</v>
      </c>
      <c r="J47" s="383" t="s">
        <v>125</v>
      </c>
      <c r="K47" s="370"/>
    </row>
    <row r="48" spans="2:11" ht="14.25" x14ac:dyDescent="0.2">
      <c r="B48" s="376">
        <v>1</v>
      </c>
      <c r="C48" s="378" t="s">
        <v>376</v>
      </c>
      <c r="D48" s="378" t="s">
        <v>377</v>
      </c>
      <c r="E48" s="379">
        <v>2019</v>
      </c>
      <c r="F48" s="378" t="s">
        <v>335</v>
      </c>
      <c r="G48" s="385">
        <v>15</v>
      </c>
      <c r="H48" s="381">
        <f t="shared" si="0"/>
        <v>24.99</v>
      </c>
      <c r="I48" s="387">
        <f t="shared" si="1"/>
        <v>15</v>
      </c>
      <c r="J48" s="383" t="s">
        <v>125</v>
      </c>
      <c r="K48" s="370"/>
    </row>
    <row r="49" spans="1:19" ht="14.25" x14ac:dyDescent="0.2">
      <c r="B49" s="376">
        <v>1</v>
      </c>
      <c r="C49" s="378" t="s">
        <v>379</v>
      </c>
      <c r="D49" s="378" t="s">
        <v>377</v>
      </c>
      <c r="E49" s="379">
        <v>2019</v>
      </c>
      <c r="F49" s="378" t="s">
        <v>335</v>
      </c>
      <c r="G49" s="385">
        <v>20</v>
      </c>
      <c r="H49" s="381">
        <f>0.833*0.3*100</f>
        <v>24.99</v>
      </c>
      <c r="I49" s="387">
        <f t="shared" si="1"/>
        <v>20</v>
      </c>
      <c r="J49" s="383" t="s">
        <v>125</v>
      </c>
      <c r="K49" s="384"/>
    </row>
    <row r="50" spans="1:19" ht="14.25" x14ac:dyDescent="0.2">
      <c r="B50" s="376">
        <v>1</v>
      </c>
      <c r="C50" s="378" t="s">
        <v>380</v>
      </c>
      <c r="D50" s="378" t="s">
        <v>338</v>
      </c>
      <c r="E50" s="379">
        <v>2001</v>
      </c>
      <c r="F50" s="378" t="s">
        <v>335</v>
      </c>
      <c r="G50" s="380">
        <v>11.4</v>
      </c>
      <c r="H50" s="381">
        <f t="shared" si="0"/>
        <v>24.99</v>
      </c>
      <c r="I50" s="382">
        <f t="shared" si="1"/>
        <v>11.4</v>
      </c>
      <c r="J50" s="383" t="s">
        <v>125</v>
      </c>
      <c r="K50" s="370"/>
    </row>
    <row r="51" spans="1:19" ht="14.25" x14ac:dyDescent="0.2">
      <c r="B51" s="376">
        <v>1</v>
      </c>
      <c r="C51" s="378" t="s">
        <v>381</v>
      </c>
      <c r="D51" s="378" t="s">
        <v>338</v>
      </c>
      <c r="E51" s="379">
        <v>2004</v>
      </c>
      <c r="F51" s="378" t="s">
        <v>335</v>
      </c>
      <c r="G51" s="380">
        <v>13.08</v>
      </c>
      <c r="H51" s="381">
        <f t="shared" si="0"/>
        <v>24.99</v>
      </c>
      <c r="I51" s="382">
        <f t="shared" si="1"/>
        <v>13.08</v>
      </c>
      <c r="J51" s="383" t="s">
        <v>125</v>
      </c>
      <c r="K51" s="370"/>
    </row>
    <row r="52" spans="1:19" thickBot="1" x14ac:dyDescent="0.25">
      <c r="B52" s="376"/>
      <c r="C52" s="378"/>
      <c r="D52" s="378"/>
      <c r="E52" s="379"/>
      <c r="F52" s="378"/>
      <c r="G52" s="380"/>
      <c r="H52" s="381"/>
      <c r="I52" s="382"/>
      <c r="J52" s="383"/>
      <c r="K52" s="370"/>
    </row>
    <row r="53" spans="1:19" s="365" customFormat="1" ht="15.75" thickBot="1" x14ac:dyDescent="0.25">
      <c r="A53" s="13"/>
      <c r="B53" s="284">
        <f>+SUM(B14:B51)</f>
        <v>38</v>
      </c>
      <c r="C53" s="396" t="s">
        <v>598</v>
      </c>
      <c r="D53" s="402"/>
      <c r="E53" s="402"/>
      <c r="F53" s="403"/>
      <c r="G53" s="401">
        <f>SUM(G14:G51)</f>
        <v>706.48000000000013</v>
      </c>
      <c r="H53" s="402"/>
      <c r="I53" s="398">
        <f>SUM(I14:I51)</f>
        <v>706.48000000000013</v>
      </c>
      <c r="J53" s="402"/>
      <c r="K53" s="392"/>
      <c r="L53" s="363"/>
      <c r="M53" s="318"/>
      <c r="N53" s="364"/>
    </row>
    <row r="54" spans="1:19" s="365" customFormat="1" x14ac:dyDescent="0.2">
      <c r="A54" s="13"/>
      <c r="B54" s="190"/>
      <c r="C54" s="388"/>
      <c r="D54" s="283"/>
      <c r="E54" s="283"/>
      <c r="F54" s="389"/>
      <c r="G54" s="390"/>
      <c r="H54" s="283"/>
      <c r="I54" s="391"/>
      <c r="J54" s="283"/>
      <c r="K54" s="392"/>
      <c r="L54" s="363"/>
      <c r="M54" s="318"/>
      <c r="N54" s="364"/>
    </row>
    <row r="55" spans="1:19" ht="14.25" x14ac:dyDescent="0.2">
      <c r="B55" s="371" t="s">
        <v>382</v>
      </c>
      <c r="C55" s="370"/>
      <c r="D55" s="372"/>
      <c r="E55" s="372"/>
      <c r="F55" s="372"/>
      <c r="G55" s="373"/>
      <c r="H55" s="373"/>
      <c r="I55" s="382"/>
      <c r="J55" s="375"/>
      <c r="K55" s="370"/>
      <c r="L55" s="362"/>
      <c r="M55" s="362"/>
      <c r="N55" s="362"/>
      <c r="O55" s="362"/>
      <c r="P55" s="362"/>
      <c r="Q55" s="362"/>
      <c r="R55" s="362"/>
      <c r="S55" s="362"/>
    </row>
    <row r="56" spans="1:19" ht="14.25" x14ac:dyDescent="0.2">
      <c r="B56" s="376"/>
      <c r="C56" s="377"/>
      <c r="D56" s="372"/>
      <c r="E56" s="372"/>
      <c r="F56" s="372"/>
      <c r="G56" s="373"/>
      <c r="H56" s="373"/>
      <c r="I56" s="382"/>
      <c r="J56" s="375"/>
      <c r="K56" s="370"/>
      <c r="L56" s="362"/>
      <c r="M56" s="362"/>
      <c r="N56" s="362"/>
      <c r="O56" s="362"/>
      <c r="P56" s="362"/>
      <c r="Q56" s="362"/>
      <c r="R56" s="362"/>
      <c r="S56" s="362"/>
    </row>
    <row r="57" spans="1:19" ht="14.25" x14ac:dyDescent="0.2">
      <c r="B57" s="376">
        <v>1</v>
      </c>
      <c r="C57" s="372" t="s">
        <v>383</v>
      </c>
      <c r="D57" s="378" t="s">
        <v>356</v>
      </c>
      <c r="E57" s="379">
        <v>2008</v>
      </c>
      <c r="F57" s="378" t="s">
        <v>136</v>
      </c>
      <c r="G57" s="393">
        <v>3.298</v>
      </c>
      <c r="H57" s="381">
        <v>100</v>
      </c>
      <c r="I57" s="382">
        <f>+G57*H57/100</f>
        <v>3.298</v>
      </c>
      <c r="J57" s="383" t="s">
        <v>125</v>
      </c>
      <c r="K57" s="370"/>
    </row>
    <row r="58" spans="1:19" ht="14.25" x14ac:dyDescent="0.2">
      <c r="B58" s="376">
        <v>1</v>
      </c>
      <c r="C58" s="372" t="s">
        <v>385</v>
      </c>
      <c r="D58" s="372" t="s">
        <v>386</v>
      </c>
      <c r="E58" s="376">
        <v>2011</v>
      </c>
      <c r="F58" s="378" t="s">
        <v>136</v>
      </c>
      <c r="G58" s="393">
        <v>0.999</v>
      </c>
      <c r="H58" s="381">
        <v>100</v>
      </c>
      <c r="I58" s="382">
        <f>+G58*H58/100</f>
        <v>0.99900000000000011</v>
      </c>
      <c r="J58" s="383" t="s">
        <v>125</v>
      </c>
      <c r="K58" s="370"/>
      <c r="L58" s="366"/>
    </row>
    <row r="59" spans="1:19" ht="14.25" x14ac:dyDescent="0.2">
      <c r="B59" s="376">
        <v>1</v>
      </c>
      <c r="C59" s="372" t="s">
        <v>387</v>
      </c>
      <c r="D59" s="372" t="s">
        <v>388</v>
      </c>
      <c r="E59" s="376">
        <v>2010</v>
      </c>
      <c r="F59" s="378" t="s">
        <v>136</v>
      </c>
      <c r="G59" s="393">
        <v>0.34399999999999997</v>
      </c>
      <c r="H59" s="381">
        <v>100</v>
      </c>
      <c r="I59" s="382">
        <f>+G59*H59/100</f>
        <v>0.34399999999999997</v>
      </c>
      <c r="J59" s="383" t="s">
        <v>125</v>
      </c>
      <c r="K59" s="370"/>
    </row>
    <row r="60" spans="1:19" ht="14.25" x14ac:dyDescent="0.2">
      <c r="B60" s="376">
        <v>1</v>
      </c>
      <c r="C60" s="372" t="s">
        <v>389</v>
      </c>
      <c r="D60" s="372" t="s">
        <v>388</v>
      </c>
      <c r="E60" s="376">
        <v>2010</v>
      </c>
      <c r="F60" s="378" t="s">
        <v>136</v>
      </c>
      <c r="G60" s="393">
        <v>0.38400000000000001</v>
      </c>
      <c r="H60" s="381">
        <v>100</v>
      </c>
      <c r="I60" s="382">
        <f>+G60*H60/100</f>
        <v>0.38400000000000001</v>
      </c>
      <c r="J60" s="383" t="s">
        <v>125</v>
      </c>
      <c r="K60" s="370"/>
    </row>
    <row r="61" spans="1:19" ht="14.25" x14ac:dyDescent="0.2">
      <c r="B61" s="376">
        <v>1</v>
      </c>
      <c r="C61" s="372" t="s">
        <v>393</v>
      </c>
      <c r="D61" s="372" t="s">
        <v>388</v>
      </c>
      <c r="E61" s="376">
        <v>2011</v>
      </c>
      <c r="F61" s="378" t="s">
        <v>335</v>
      </c>
      <c r="G61" s="393">
        <v>3</v>
      </c>
      <c r="H61" s="394">
        <f>0.833*0.3*100</f>
        <v>24.99</v>
      </c>
      <c r="I61" s="382">
        <v>3</v>
      </c>
      <c r="J61" s="383" t="s">
        <v>125</v>
      </c>
      <c r="K61" s="370"/>
    </row>
    <row r="62" spans="1:19" ht="14.25" x14ac:dyDescent="0.2">
      <c r="B62" s="376">
        <v>1</v>
      </c>
      <c r="C62" s="372" t="s">
        <v>394</v>
      </c>
      <c r="D62" s="372" t="s">
        <v>388</v>
      </c>
      <c r="E62" s="376">
        <v>2011</v>
      </c>
      <c r="F62" s="378" t="s">
        <v>335</v>
      </c>
      <c r="G62" s="393">
        <v>1</v>
      </c>
      <c r="H62" s="394">
        <f>0.833*0.3*100</f>
        <v>24.99</v>
      </c>
      <c r="I62" s="382">
        <v>1</v>
      </c>
      <c r="J62" s="383" t="s">
        <v>125</v>
      </c>
      <c r="K62" s="370"/>
    </row>
    <row r="63" spans="1:19" ht="14.25" x14ac:dyDescent="0.2">
      <c r="B63" s="376">
        <v>1</v>
      </c>
      <c r="C63" s="372" t="s">
        <v>395</v>
      </c>
      <c r="D63" s="378" t="s">
        <v>352</v>
      </c>
      <c r="E63" s="379">
        <v>2011</v>
      </c>
      <c r="F63" s="378" t="s">
        <v>335</v>
      </c>
      <c r="G63" s="393">
        <v>1</v>
      </c>
      <c r="H63" s="394">
        <f>0.833*0.3*100</f>
        <v>24.99</v>
      </c>
      <c r="I63" s="382">
        <v>1</v>
      </c>
      <c r="J63" s="383" t="s">
        <v>125</v>
      </c>
      <c r="K63" s="370"/>
    </row>
    <row r="64" spans="1:19" thickBot="1" x14ac:dyDescent="0.25">
      <c r="B64" s="376"/>
      <c r="C64" s="372"/>
      <c r="D64" s="372"/>
      <c r="E64" s="376"/>
      <c r="F64" s="378"/>
      <c r="G64" s="393"/>
      <c r="H64" s="394"/>
      <c r="I64" s="382"/>
      <c r="J64" s="383"/>
      <c r="K64" s="384"/>
      <c r="L64" s="366"/>
    </row>
    <row r="65" spans="1:14" s="365" customFormat="1" ht="15.75" thickBot="1" x14ac:dyDescent="0.25">
      <c r="A65" s="13"/>
      <c r="B65" s="284">
        <f>+SUM(B57:B63)</f>
        <v>7</v>
      </c>
      <c r="C65" s="396" t="s">
        <v>398</v>
      </c>
      <c r="D65" s="402"/>
      <c r="E65" s="402"/>
      <c r="F65" s="403"/>
      <c r="G65" s="399">
        <f>SUM(G57:G63)</f>
        <v>10.025</v>
      </c>
      <c r="H65" s="402"/>
      <c r="I65" s="398">
        <f>SUM(I57:I63)</f>
        <v>10.025000000000002</v>
      </c>
      <c r="J65" s="402"/>
      <c r="K65" s="392"/>
      <c r="L65" s="363"/>
      <c r="M65" s="318"/>
      <c r="N65" s="364"/>
    </row>
    <row r="66" spans="1:14" s="365" customFormat="1" ht="15.75" thickBot="1" x14ac:dyDescent="0.25">
      <c r="A66" s="13"/>
      <c r="B66" s="190"/>
      <c r="C66" s="388"/>
      <c r="D66" s="283"/>
      <c r="E66" s="283"/>
      <c r="F66" s="389"/>
      <c r="G66" s="395"/>
      <c r="H66" s="283"/>
      <c r="I66" s="395"/>
      <c r="J66" s="283"/>
      <c r="K66" s="392"/>
      <c r="L66" s="363"/>
      <c r="M66" s="318"/>
      <c r="N66" s="364"/>
    </row>
    <row r="67" spans="1:14" ht="15.75" thickBot="1" x14ac:dyDescent="0.3">
      <c r="B67" s="404">
        <f>B65+B53</f>
        <v>45</v>
      </c>
      <c r="C67" s="405" t="s">
        <v>788</v>
      </c>
      <c r="D67" s="405"/>
      <c r="E67" s="405"/>
      <c r="F67" s="405"/>
      <c r="G67" s="406">
        <f>+G53+G65</f>
        <v>716.50500000000011</v>
      </c>
      <c r="H67" s="405"/>
      <c r="I67" s="407">
        <f>+I53+I65</f>
        <v>716.50500000000011</v>
      </c>
      <c r="J67" s="408"/>
    </row>
    <row r="68" spans="1:14" x14ac:dyDescent="0.25">
      <c r="G68" s="359"/>
    </row>
    <row r="69" spans="1:14" x14ac:dyDescent="0.25">
      <c r="B69" s="372" t="s">
        <v>1046</v>
      </c>
      <c r="D69" s="367"/>
      <c r="E69" s="367"/>
      <c r="I69" s="368"/>
    </row>
    <row r="70" spans="1:14" x14ac:dyDescent="0.25">
      <c r="B70" s="372" t="s">
        <v>1047</v>
      </c>
    </row>
  </sheetData>
  <pageMargins left="0.7" right="0.7" top="0.75" bottom="0.75" header="0.3" footer="0.3"/>
  <pageSetup paperSize="9" scale="44"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089C5-A139-4BB6-8BB2-85C83BBDD13B}">
  <sheetPr>
    <tabColor theme="8"/>
  </sheetPr>
  <dimension ref="A7:Q112"/>
  <sheetViews>
    <sheetView showGridLines="0" topLeftCell="A45" zoomScaleNormal="100" workbookViewId="0">
      <selection activeCell="H73" sqref="H73"/>
    </sheetView>
  </sheetViews>
  <sheetFormatPr defaultColWidth="9.140625" defaultRowHeight="14.25" x14ac:dyDescent="0.2"/>
  <cols>
    <col min="1" max="1" width="5.7109375" style="13" customWidth="1"/>
    <col min="2" max="2" width="7.5703125" style="13" customWidth="1"/>
    <col min="3" max="3" width="23.140625" style="13" bestFit="1" customWidth="1"/>
    <col min="4" max="4" width="29.42578125" style="13" bestFit="1" customWidth="1"/>
    <col min="5" max="5" width="11.5703125" style="13" bestFit="1" customWidth="1"/>
    <col min="6" max="6" width="26.140625" style="13" bestFit="1" customWidth="1"/>
    <col min="7" max="7" width="13.42578125" style="13" customWidth="1"/>
    <col min="8" max="9" width="15.42578125" style="13" customWidth="1"/>
    <col min="10" max="10" width="17" style="13" customWidth="1"/>
    <col min="11" max="11" width="15.140625" style="13" bestFit="1" customWidth="1"/>
    <col min="12" max="12" width="17.140625" style="13" bestFit="1" customWidth="1"/>
    <col min="13" max="13" width="18.28515625" style="13" bestFit="1" customWidth="1"/>
    <col min="14" max="15" width="14" style="13" customWidth="1"/>
    <col min="16" max="16" width="18" style="13" customWidth="1"/>
    <col min="17" max="17" width="10.28515625" style="13" bestFit="1" customWidth="1"/>
    <col min="18" max="19" width="9.28515625" style="13" bestFit="1" customWidth="1"/>
    <col min="20" max="20" width="9.140625" style="13" customWidth="1"/>
    <col min="21" max="21" width="10.28515625" style="13" bestFit="1" customWidth="1"/>
    <col min="22" max="22" width="9.28515625" style="13" bestFit="1" customWidth="1"/>
    <col min="23" max="16384" width="9.140625" style="13"/>
  </cols>
  <sheetData>
    <row r="7" spans="1:16" s="365" customFormat="1" ht="15" x14ac:dyDescent="0.2">
      <c r="A7" s="13"/>
      <c r="B7" s="304"/>
      <c r="M7" s="303"/>
      <c r="N7" s="304"/>
      <c r="O7" s="303"/>
      <c r="P7" s="303"/>
    </row>
    <row r="8" spans="1:16" s="365" customFormat="1" ht="15" x14ac:dyDescent="0.25">
      <c r="A8" s="13"/>
      <c r="B8" s="299" t="s">
        <v>844</v>
      </c>
      <c r="C8" s="358"/>
      <c r="M8" s="303"/>
      <c r="N8" s="304"/>
      <c r="O8" s="303"/>
      <c r="P8" s="303"/>
    </row>
    <row r="9" spans="1:16" s="365" customFormat="1" ht="15" x14ac:dyDescent="0.25">
      <c r="A9" s="13"/>
      <c r="B9" s="88" t="s">
        <v>1038</v>
      </c>
      <c r="C9" s="358"/>
      <c r="M9" s="303"/>
      <c r="N9" s="304"/>
      <c r="O9" s="303"/>
      <c r="P9" s="303"/>
    </row>
    <row r="10" spans="1:16" s="365" customFormat="1" ht="15" x14ac:dyDescent="0.2">
      <c r="A10" s="13"/>
      <c r="B10" s="304"/>
      <c r="M10" s="303"/>
      <c r="N10" s="303"/>
      <c r="O10" s="303"/>
    </row>
    <row r="11" spans="1:16" s="307" customFormat="1" ht="46.5" customHeight="1" thickBot="1" x14ac:dyDescent="0.3">
      <c r="A11" s="13"/>
      <c r="B11" s="305" t="s">
        <v>108</v>
      </c>
      <c r="C11" s="305" t="s">
        <v>109</v>
      </c>
      <c r="D11" s="305" t="s">
        <v>110</v>
      </c>
      <c r="E11" s="305" t="s">
        <v>111</v>
      </c>
      <c r="F11" s="306" t="s">
        <v>112</v>
      </c>
      <c r="G11" s="306" t="s">
        <v>113</v>
      </c>
      <c r="H11" s="306" t="s">
        <v>283</v>
      </c>
      <c r="I11" s="306" t="s">
        <v>284</v>
      </c>
      <c r="J11" s="306" t="s">
        <v>790</v>
      </c>
      <c r="K11" s="306" t="s">
        <v>285</v>
      </c>
      <c r="L11" s="306" t="s">
        <v>791</v>
      </c>
      <c r="M11" s="306" t="s">
        <v>117</v>
      </c>
    </row>
    <row r="12" spans="1:16" s="365" customFormat="1" x14ac:dyDescent="0.2">
      <c r="A12" s="13"/>
      <c r="B12" s="330"/>
      <c r="C12" s="414"/>
      <c r="D12" s="415"/>
      <c r="E12" s="328"/>
      <c r="F12" s="415"/>
      <c r="G12" s="415"/>
      <c r="H12" s="415"/>
      <c r="I12" s="415"/>
      <c r="J12" s="328"/>
      <c r="K12" s="416"/>
      <c r="L12" s="328"/>
      <c r="M12" s="328"/>
      <c r="N12" s="417"/>
      <c r="O12" s="364"/>
    </row>
    <row r="13" spans="1:16" s="365" customFormat="1" x14ac:dyDescent="0.2">
      <c r="A13" s="13"/>
      <c r="B13" s="330"/>
      <c r="C13" s="429" t="s">
        <v>87</v>
      </c>
      <c r="D13" s="415"/>
      <c r="E13" s="328"/>
      <c r="F13" s="415"/>
      <c r="G13" s="415"/>
      <c r="H13" s="415"/>
      <c r="I13" s="415"/>
      <c r="J13" s="328"/>
      <c r="K13" s="416"/>
      <c r="L13" s="328"/>
      <c r="M13" s="328"/>
      <c r="N13" s="417"/>
      <c r="O13" s="364"/>
    </row>
    <row r="14" spans="1:16" s="365" customFormat="1" x14ac:dyDescent="0.2">
      <c r="A14" s="13"/>
      <c r="B14" s="330"/>
      <c r="C14" s="414"/>
      <c r="D14" s="415"/>
      <c r="E14" s="328"/>
      <c r="F14" s="415"/>
      <c r="G14" s="415"/>
      <c r="H14" s="415"/>
      <c r="I14" s="415"/>
      <c r="J14" s="328"/>
      <c r="K14" s="416"/>
      <c r="L14" s="328"/>
      <c r="M14" s="328"/>
      <c r="N14" s="417"/>
      <c r="O14" s="364"/>
    </row>
    <row r="15" spans="1:16" s="365" customFormat="1" x14ac:dyDescent="0.2">
      <c r="A15" s="13"/>
      <c r="B15" s="283">
        <v>1</v>
      </c>
      <c r="C15" s="179" t="s">
        <v>399</v>
      </c>
      <c r="D15" s="281" t="s">
        <v>400</v>
      </c>
      <c r="E15" s="418">
        <v>41914</v>
      </c>
      <c r="F15" s="378" t="s">
        <v>401</v>
      </c>
      <c r="G15" s="283"/>
      <c r="H15" s="283" t="s">
        <v>403</v>
      </c>
      <c r="I15" s="283" t="s">
        <v>404</v>
      </c>
      <c r="J15" s="430">
        <v>2.004</v>
      </c>
      <c r="K15" s="426">
        <v>100</v>
      </c>
      <c r="L15" s="430">
        <f t="shared" ref="L15:L30" si="0">+J15*K15%</f>
        <v>2.004</v>
      </c>
      <c r="M15" s="282" t="s">
        <v>291</v>
      </c>
      <c r="N15" s="417"/>
      <c r="O15" s="364"/>
    </row>
    <row r="16" spans="1:16" s="365" customFormat="1" x14ac:dyDescent="0.2">
      <c r="A16" s="13"/>
      <c r="B16" s="283">
        <v>1</v>
      </c>
      <c r="C16" s="179" t="s">
        <v>405</v>
      </c>
      <c r="D16" s="281" t="s">
        <v>406</v>
      </c>
      <c r="E16" s="418">
        <v>42704</v>
      </c>
      <c r="F16" s="378" t="s">
        <v>401</v>
      </c>
      <c r="G16" s="283"/>
      <c r="H16" s="283" t="s">
        <v>403</v>
      </c>
      <c r="I16" s="283" t="s">
        <v>404</v>
      </c>
      <c r="J16" s="430">
        <v>1.2869999999999999</v>
      </c>
      <c r="K16" s="426">
        <v>100</v>
      </c>
      <c r="L16" s="430">
        <f t="shared" si="0"/>
        <v>1.2869999999999999</v>
      </c>
      <c r="M16" s="282" t="s">
        <v>291</v>
      </c>
      <c r="N16" s="417"/>
      <c r="O16" s="364"/>
    </row>
    <row r="17" spans="1:15" s="365" customFormat="1" x14ac:dyDescent="0.2">
      <c r="A17" s="13"/>
      <c r="B17" s="283">
        <v>1</v>
      </c>
      <c r="C17" s="179" t="s">
        <v>407</v>
      </c>
      <c r="D17" s="281" t="s">
        <v>408</v>
      </c>
      <c r="E17" s="418">
        <v>42656</v>
      </c>
      <c r="F17" s="378" t="s">
        <v>401</v>
      </c>
      <c r="G17" s="283"/>
      <c r="H17" s="283" t="s">
        <v>403</v>
      </c>
      <c r="I17" s="283" t="s">
        <v>404</v>
      </c>
      <c r="J17" s="430">
        <v>4.4039999999999999</v>
      </c>
      <c r="K17" s="426">
        <v>100</v>
      </c>
      <c r="L17" s="430">
        <f t="shared" si="0"/>
        <v>4.4039999999999999</v>
      </c>
      <c r="M17" s="282" t="s">
        <v>291</v>
      </c>
      <c r="N17" s="417"/>
      <c r="O17" s="364"/>
    </row>
    <row r="18" spans="1:15" s="365" customFormat="1" x14ac:dyDescent="0.2">
      <c r="A18" s="13"/>
      <c r="B18" s="283">
        <v>1</v>
      </c>
      <c r="C18" s="179" t="s">
        <v>409</v>
      </c>
      <c r="D18" s="281" t="s">
        <v>410</v>
      </c>
      <c r="E18" s="283">
        <v>2010</v>
      </c>
      <c r="F18" s="378" t="s">
        <v>411</v>
      </c>
      <c r="G18" s="283" t="s">
        <v>412</v>
      </c>
      <c r="H18" s="283" t="s">
        <v>403</v>
      </c>
      <c r="I18" s="283" t="s">
        <v>413</v>
      </c>
      <c r="J18" s="430">
        <v>3.7</v>
      </c>
      <c r="K18" s="426">
        <v>100</v>
      </c>
      <c r="L18" s="430">
        <f t="shared" si="0"/>
        <v>3.7</v>
      </c>
      <c r="M18" s="282" t="s">
        <v>291</v>
      </c>
      <c r="N18" s="417"/>
      <c r="O18" s="364"/>
    </row>
    <row r="19" spans="1:15" s="365" customFormat="1" x14ac:dyDescent="0.2">
      <c r="A19" s="13"/>
      <c r="B19" s="283">
        <v>1</v>
      </c>
      <c r="C19" s="179" t="s">
        <v>414</v>
      </c>
      <c r="D19" s="281" t="s">
        <v>415</v>
      </c>
      <c r="E19" s="283">
        <v>2010</v>
      </c>
      <c r="F19" s="378" t="s">
        <v>411</v>
      </c>
      <c r="G19" s="283" t="s">
        <v>412</v>
      </c>
      <c r="H19" s="283" t="s">
        <v>403</v>
      </c>
      <c r="I19" s="283" t="s">
        <v>416</v>
      </c>
      <c r="J19" s="430">
        <v>32.966999999999999</v>
      </c>
      <c r="K19" s="426">
        <v>100</v>
      </c>
      <c r="L19" s="430">
        <f t="shared" si="0"/>
        <v>32.966999999999999</v>
      </c>
      <c r="M19" s="282" t="s">
        <v>291</v>
      </c>
      <c r="N19" s="417"/>
      <c r="O19" s="364"/>
    </row>
    <row r="20" spans="1:15" s="365" customFormat="1" x14ac:dyDescent="0.2">
      <c r="A20" s="13"/>
      <c r="B20" s="283">
        <v>1</v>
      </c>
      <c r="C20" s="179" t="s">
        <v>417</v>
      </c>
      <c r="D20" s="281" t="s">
        <v>410</v>
      </c>
      <c r="E20" s="283">
        <v>2007</v>
      </c>
      <c r="F20" s="378" t="s">
        <v>411</v>
      </c>
      <c r="G20" s="283" t="s">
        <v>412</v>
      </c>
      <c r="H20" s="283" t="s">
        <v>403</v>
      </c>
      <c r="I20" s="283" t="s">
        <v>413</v>
      </c>
      <c r="J20" s="430">
        <v>6</v>
      </c>
      <c r="K20" s="426">
        <v>100</v>
      </c>
      <c r="L20" s="430">
        <f t="shared" si="0"/>
        <v>6</v>
      </c>
      <c r="M20" s="282" t="s">
        <v>291</v>
      </c>
      <c r="N20" s="417"/>
      <c r="O20" s="364"/>
    </row>
    <row r="21" spans="1:15" s="365" customFormat="1" x14ac:dyDescent="0.2">
      <c r="A21" s="13"/>
      <c r="B21" s="283">
        <v>1</v>
      </c>
      <c r="C21" s="179" t="s">
        <v>418</v>
      </c>
      <c r="D21" s="281" t="s">
        <v>410</v>
      </c>
      <c r="E21" s="283">
        <v>1959</v>
      </c>
      <c r="F21" s="378" t="s">
        <v>411</v>
      </c>
      <c r="G21" s="283" t="s">
        <v>412</v>
      </c>
      <c r="H21" s="283" t="s">
        <v>403</v>
      </c>
      <c r="I21" s="283" t="s">
        <v>413</v>
      </c>
      <c r="J21" s="430">
        <v>2.4500000000000002</v>
      </c>
      <c r="K21" s="426">
        <v>100</v>
      </c>
      <c r="L21" s="430">
        <f t="shared" si="0"/>
        <v>2.4500000000000002</v>
      </c>
      <c r="M21" s="282" t="s">
        <v>291</v>
      </c>
      <c r="N21" s="417"/>
      <c r="O21" s="364"/>
    </row>
    <row r="22" spans="1:15" s="365" customFormat="1" x14ac:dyDescent="0.2">
      <c r="A22" s="13"/>
      <c r="B22" s="283">
        <v>1</v>
      </c>
      <c r="C22" s="179" t="s">
        <v>419</v>
      </c>
      <c r="D22" s="281" t="s">
        <v>415</v>
      </c>
      <c r="E22" s="283">
        <v>2010</v>
      </c>
      <c r="F22" s="378" t="s">
        <v>411</v>
      </c>
      <c r="G22" s="283" t="s">
        <v>412</v>
      </c>
      <c r="H22" s="283" t="s">
        <v>403</v>
      </c>
      <c r="I22" s="283" t="s">
        <v>416</v>
      </c>
      <c r="J22" s="430">
        <v>5</v>
      </c>
      <c r="K22" s="426">
        <v>100</v>
      </c>
      <c r="L22" s="430">
        <f t="shared" si="0"/>
        <v>5</v>
      </c>
      <c r="M22" s="282" t="s">
        <v>291</v>
      </c>
      <c r="N22" s="417"/>
      <c r="O22" s="364"/>
    </row>
    <row r="23" spans="1:15" s="365" customFormat="1" x14ac:dyDescent="0.2">
      <c r="A23" s="13"/>
      <c r="B23" s="283">
        <v>1</v>
      </c>
      <c r="C23" s="179" t="s">
        <v>420</v>
      </c>
      <c r="D23" s="281" t="s">
        <v>415</v>
      </c>
      <c r="E23" s="283">
        <v>2011</v>
      </c>
      <c r="F23" s="378" t="s">
        <v>411</v>
      </c>
      <c r="G23" s="283" t="s">
        <v>412</v>
      </c>
      <c r="H23" s="283" t="s">
        <v>403</v>
      </c>
      <c r="I23" s="283" t="s">
        <v>416</v>
      </c>
      <c r="J23" s="430">
        <v>5.12</v>
      </c>
      <c r="K23" s="426">
        <v>100</v>
      </c>
      <c r="L23" s="430">
        <f t="shared" si="0"/>
        <v>5.12</v>
      </c>
      <c r="M23" s="282" t="s">
        <v>291</v>
      </c>
      <c r="N23" s="417"/>
      <c r="O23" s="364"/>
    </row>
    <row r="24" spans="1:15" s="365" customFormat="1" x14ac:dyDescent="0.2">
      <c r="A24" s="13"/>
      <c r="B24" s="283">
        <v>1</v>
      </c>
      <c r="C24" s="179" t="s">
        <v>421</v>
      </c>
      <c r="D24" s="281" t="s">
        <v>415</v>
      </c>
      <c r="E24" s="283">
        <v>2012</v>
      </c>
      <c r="F24" s="378" t="s">
        <v>411</v>
      </c>
      <c r="G24" s="283" t="s">
        <v>412</v>
      </c>
      <c r="H24" s="283" t="s">
        <v>403</v>
      </c>
      <c r="I24" s="283" t="s">
        <v>413</v>
      </c>
      <c r="J24" s="430">
        <v>1.63</v>
      </c>
      <c r="K24" s="426">
        <v>100</v>
      </c>
      <c r="L24" s="430">
        <f t="shared" si="0"/>
        <v>1.63</v>
      </c>
      <c r="M24" s="282" t="s">
        <v>291</v>
      </c>
      <c r="N24" s="417"/>
      <c r="O24" s="364"/>
    </row>
    <row r="25" spans="1:15" s="365" customFormat="1" x14ac:dyDescent="0.2">
      <c r="A25" s="13"/>
      <c r="B25" s="283">
        <v>1</v>
      </c>
      <c r="C25" s="179" t="s">
        <v>422</v>
      </c>
      <c r="D25" s="281" t="s">
        <v>423</v>
      </c>
      <c r="E25" s="283">
        <v>1999</v>
      </c>
      <c r="F25" s="378" t="s">
        <v>411</v>
      </c>
      <c r="G25" s="283" t="s">
        <v>424</v>
      </c>
      <c r="H25" s="283" t="s">
        <v>425</v>
      </c>
      <c r="I25" s="283" t="s">
        <v>426</v>
      </c>
      <c r="J25" s="430">
        <v>7.3</v>
      </c>
      <c r="K25" s="426">
        <v>100</v>
      </c>
      <c r="L25" s="430">
        <f t="shared" si="0"/>
        <v>7.3</v>
      </c>
      <c r="M25" s="282" t="s">
        <v>291</v>
      </c>
      <c r="N25" s="417"/>
      <c r="O25" s="364"/>
    </row>
    <row r="26" spans="1:15" s="365" customFormat="1" x14ac:dyDescent="0.2">
      <c r="A26" s="13"/>
      <c r="B26" s="283">
        <v>1</v>
      </c>
      <c r="C26" s="179" t="s">
        <v>427</v>
      </c>
      <c r="D26" s="281" t="s">
        <v>428</v>
      </c>
      <c r="E26" s="283">
        <v>2008</v>
      </c>
      <c r="F26" s="378" t="s">
        <v>411</v>
      </c>
      <c r="G26" s="283" t="s">
        <v>429</v>
      </c>
      <c r="H26" s="283" t="s">
        <v>403</v>
      </c>
      <c r="I26" s="283" t="s">
        <v>413</v>
      </c>
      <c r="J26" s="430">
        <v>36</v>
      </c>
      <c r="K26" s="426">
        <v>100</v>
      </c>
      <c r="L26" s="430">
        <f t="shared" si="0"/>
        <v>36</v>
      </c>
      <c r="M26" s="282" t="s">
        <v>291</v>
      </c>
      <c r="N26" s="417"/>
      <c r="O26" s="364"/>
    </row>
    <row r="27" spans="1:15" s="365" customFormat="1" x14ac:dyDescent="0.2">
      <c r="A27" s="13"/>
      <c r="B27" s="283">
        <v>1</v>
      </c>
      <c r="C27" s="179" t="s">
        <v>430</v>
      </c>
      <c r="D27" s="281" t="s">
        <v>415</v>
      </c>
      <c r="E27" s="283">
        <v>2010</v>
      </c>
      <c r="F27" s="378" t="s">
        <v>411</v>
      </c>
      <c r="G27" s="283" t="s">
        <v>429</v>
      </c>
      <c r="H27" s="283" t="s">
        <v>403</v>
      </c>
      <c r="I27" s="283" t="s">
        <v>413</v>
      </c>
      <c r="J27" s="430">
        <v>28.3</v>
      </c>
      <c r="K27" s="426">
        <v>100</v>
      </c>
      <c r="L27" s="430">
        <f t="shared" si="0"/>
        <v>28.3</v>
      </c>
      <c r="M27" s="282" t="s">
        <v>291</v>
      </c>
      <c r="N27" s="417"/>
      <c r="O27" s="364"/>
    </row>
    <row r="28" spans="1:15" s="365" customFormat="1" x14ac:dyDescent="0.2">
      <c r="A28" s="13"/>
      <c r="B28" s="283">
        <v>1</v>
      </c>
      <c r="C28" s="179" t="s">
        <v>431</v>
      </c>
      <c r="D28" s="281" t="s">
        <v>428</v>
      </c>
      <c r="E28" s="283">
        <v>2014</v>
      </c>
      <c r="F28" s="378" t="s">
        <v>411</v>
      </c>
      <c r="G28" s="283" t="s">
        <v>429</v>
      </c>
      <c r="H28" s="283" t="s">
        <v>403</v>
      </c>
      <c r="I28" s="283" t="s">
        <v>413</v>
      </c>
      <c r="J28" s="430">
        <v>12.5</v>
      </c>
      <c r="K28" s="426">
        <v>100</v>
      </c>
      <c r="L28" s="430">
        <f t="shared" si="0"/>
        <v>12.5</v>
      </c>
      <c r="M28" s="282" t="s">
        <v>291</v>
      </c>
      <c r="N28" s="417"/>
      <c r="O28" s="364"/>
    </row>
    <row r="29" spans="1:15" s="365" customFormat="1" x14ac:dyDescent="0.2">
      <c r="A29" s="13"/>
      <c r="B29" s="283">
        <v>1</v>
      </c>
      <c r="C29" s="179" t="s">
        <v>432</v>
      </c>
      <c r="D29" s="281" t="s">
        <v>410</v>
      </c>
      <c r="E29" s="283">
        <v>2000</v>
      </c>
      <c r="F29" s="378" t="s">
        <v>411</v>
      </c>
      <c r="G29" s="283" t="s">
        <v>429</v>
      </c>
      <c r="H29" s="283" t="s">
        <v>403</v>
      </c>
      <c r="I29" s="283" t="s">
        <v>413</v>
      </c>
      <c r="J29" s="430">
        <v>10</v>
      </c>
      <c r="K29" s="426">
        <v>100</v>
      </c>
      <c r="L29" s="430">
        <f t="shared" si="0"/>
        <v>10</v>
      </c>
      <c r="M29" s="282" t="s">
        <v>291</v>
      </c>
      <c r="N29" s="417"/>
      <c r="O29" s="364"/>
    </row>
    <row r="30" spans="1:15" s="365" customFormat="1" x14ac:dyDescent="0.2">
      <c r="A30" s="13"/>
      <c r="B30" s="283">
        <v>1</v>
      </c>
      <c r="C30" s="179" t="s">
        <v>433</v>
      </c>
      <c r="D30" s="281" t="s">
        <v>428</v>
      </c>
      <c r="E30" s="283">
        <v>2017</v>
      </c>
      <c r="F30" s="378" t="s">
        <v>411</v>
      </c>
      <c r="G30" s="283" t="s">
        <v>429</v>
      </c>
      <c r="H30" s="283" t="s">
        <v>403</v>
      </c>
      <c r="I30" s="283" t="s">
        <v>413</v>
      </c>
      <c r="J30" s="430">
        <v>4.5999999999999996</v>
      </c>
      <c r="K30" s="426">
        <v>100</v>
      </c>
      <c r="L30" s="430">
        <f t="shared" si="0"/>
        <v>4.5999999999999996</v>
      </c>
      <c r="M30" s="282" t="s">
        <v>291</v>
      </c>
      <c r="N30" s="417"/>
      <c r="O30" s="364"/>
    </row>
    <row r="31" spans="1:15" s="365" customFormat="1" ht="15" thickBot="1" x14ac:dyDescent="0.25">
      <c r="A31" s="13"/>
      <c r="B31" s="283"/>
      <c r="C31" s="179"/>
      <c r="D31" s="281"/>
      <c r="E31" s="283"/>
      <c r="F31" s="378"/>
      <c r="G31" s="283"/>
      <c r="H31" s="283"/>
      <c r="I31" s="283"/>
      <c r="J31" s="430"/>
      <c r="K31" s="426"/>
      <c r="L31" s="430"/>
      <c r="M31" s="282"/>
      <c r="N31" s="417"/>
      <c r="O31" s="364"/>
    </row>
    <row r="32" spans="1:15" s="365" customFormat="1" ht="15" thickBot="1" x14ac:dyDescent="0.25">
      <c r="A32" s="13"/>
      <c r="B32" s="284">
        <f>+SUM(B15:B30)</f>
        <v>16</v>
      </c>
      <c r="C32" s="396" t="s">
        <v>594</v>
      </c>
      <c r="D32" s="397"/>
      <c r="E32" s="397"/>
      <c r="F32" s="400"/>
      <c r="G32" s="397"/>
      <c r="H32" s="397"/>
      <c r="I32" s="397"/>
      <c r="J32" s="431">
        <f>+SUM(J15:J30)</f>
        <v>163.262</v>
      </c>
      <c r="K32" s="432"/>
      <c r="L32" s="433">
        <f>+SUM(L15:L30)</f>
        <v>163.262</v>
      </c>
      <c r="M32" s="412"/>
      <c r="N32" s="417"/>
      <c r="O32" s="364"/>
    </row>
    <row r="33" spans="1:17" s="365" customFormat="1" x14ac:dyDescent="0.2">
      <c r="A33" s="13"/>
      <c r="B33" s="190"/>
      <c r="C33" s="388"/>
      <c r="D33" s="283"/>
      <c r="E33" s="283"/>
      <c r="F33" s="179"/>
      <c r="G33" s="283"/>
      <c r="H33" s="283"/>
      <c r="I33" s="283"/>
      <c r="J33" s="434"/>
      <c r="K33" s="426"/>
      <c r="L33" s="434"/>
      <c r="M33" s="420"/>
      <c r="N33" s="417"/>
      <c r="O33" s="364"/>
    </row>
    <row r="34" spans="1:17" s="365" customFormat="1" x14ac:dyDescent="0.2">
      <c r="A34" s="13"/>
      <c r="B34" s="283"/>
      <c r="C34" s="429" t="s">
        <v>434</v>
      </c>
      <c r="D34" s="80"/>
      <c r="E34" s="421"/>
      <c r="F34" s="422"/>
      <c r="G34" s="283"/>
      <c r="H34" s="283"/>
      <c r="I34" s="419"/>
      <c r="J34" s="426"/>
      <c r="K34" s="435"/>
      <c r="L34" s="436"/>
      <c r="M34" s="282"/>
      <c r="N34" s="417"/>
      <c r="O34" s="364"/>
    </row>
    <row r="35" spans="1:17" s="365" customFormat="1" x14ac:dyDescent="0.2">
      <c r="A35" s="13"/>
      <c r="B35" s="283"/>
      <c r="C35" s="414"/>
      <c r="D35" s="80"/>
      <c r="E35" s="421"/>
      <c r="F35" s="422"/>
      <c r="G35" s="283"/>
      <c r="H35" s="283"/>
      <c r="I35" s="419"/>
      <c r="J35" s="426"/>
      <c r="K35" s="435"/>
      <c r="L35" s="436"/>
      <c r="M35" s="282"/>
      <c r="N35" s="417"/>
      <c r="O35" s="364"/>
    </row>
    <row r="36" spans="1:17" s="365" customFormat="1" x14ac:dyDescent="0.2">
      <c r="A36" s="13"/>
      <c r="B36" s="283">
        <v>1</v>
      </c>
      <c r="C36" s="179" t="s">
        <v>435</v>
      </c>
      <c r="D36" s="422" t="s">
        <v>436</v>
      </c>
      <c r="E36" s="421">
        <v>43374</v>
      </c>
      <c r="F36" s="422" t="s">
        <v>401</v>
      </c>
      <c r="G36" s="423"/>
      <c r="H36" s="283" t="s">
        <v>403</v>
      </c>
      <c r="I36" s="283" t="s">
        <v>437</v>
      </c>
      <c r="J36" s="430">
        <v>0.22500000000000001</v>
      </c>
      <c r="K36" s="426">
        <v>100</v>
      </c>
      <c r="L36" s="436">
        <f>+J36*K36/100</f>
        <v>0.22500000000000001</v>
      </c>
      <c r="M36" s="282" t="s">
        <v>291</v>
      </c>
      <c r="N36" s="417"/>
      <c r="O36" s="364"/>
    </row>
    <row r="37" spans="1:17" s="365" customFormat="1" ht="15" thickBot="1" x14ac:dyDescent="0.25">
      <c r="A37" s="13"/>
      <c r="B37" s="283"/>
      <c r="C37" s="179"/>
      <c r="D37" s="422"/>
      <c r="E37" s="421"/>
      <c r="F37" s="422"/>
      <c r="G37" s="423"/>
      <c r="H37" s="283"/>
      <c r="I37" s="283"/>
      <c r="J37" s="430"/>
      <c r="K37" s="426"/>
      <c r="L37" s="436"/>
      <c r="M37" s="282"/>
      <c r="N37" s="417"/>
      <c r="O37" s="364"/>
    </row>
    <row r="38" spans="1:17" s="365" customFormat="1" ht="15" thickBot="1" x14ac:dyDescent="0.25">
      <c r="A38" s="13"/>
      <c r="B38" s="284">
        <f>+SUM(B36:B36)</f>
        <v>1</v>
      </c>
      <c r="C38" s="81" t="s">
        <v>596</v>
      </c>
      <c r="D38" s="397"/>
      <c r="E38" s="413"/>
      <c r="F38" s="400"/>
      <c r="G38" s="397"/>
      <c r="H38" s="397"/>
      <c r="I38" s="397"/>
      <c r="J38" s="431">
        <f>SUM(J36:J36)</f>
        <v>0.22500000000000001</v>
      </c>
      <c r="K38" s="437"/>
      <c r="L38" s="433">
        <f>SUM(L36:L36)</f>
        <v>0.22500000000000001</v>
      </c>
      <c r="M38" s="353"/>
      <c r="N38" s="417"/>
      <c r="O38" s="364"/>
    </row>
    <row r="39" spans="1:17" s="365" customFormat="1" x14ac:dyDescent="0.2">
      <c r="A39" s="13"/>
      <c r="B39" s="190"/>
      <c r="C39" s="84"/>
      <c r="D39" s="283"/>
      <c r="E39" s="421"/>
      <c r="F39" s="179"/>
      <c r="G39" s="283"/>
      <c r="H39" s="283"/>
      <c r="I39" s="283"/>
      <c r="J39" s="434"/>
      <c r="K39" s="435"/>
      <c r="L39" s="434"/>
      <c r="M39" s="424"/>
      <c r="N39" s="417"/>
      <c r="O39" s="364"/>
    </row>
    <row r="40" spans="1:17" x14ac:dyDescent="0.2">
      <c r="B40" s="283"/>
      <c r="C40" s="429" t="s">
        <v>88</v>
      </c>
      <c r="D40" s="80"/>
      <c r="E40" s="421"/>
      <c r="F40" s="422"/>
      <c r="G40" s="283"/>
      <c r="H40" s="283"/>
      <c r="I40" s="419"/>
      <c r="J40" s="426"/>
      <c r="K40" s="435"/>
      <c r="L40" s="436"/>
      <c r="M40" s="282"/>
      <c r="N40" s="108"/>
      <c r="O40" s="14"/>
    </row>
    <row r="41" spans="1:17" x14ac:dyDescent="0.2">
      <c r="B41" s="283"/>
      <c r="C41" s="414"/>
      <c r="D41" s="80"/>
      <c r="E41" s="421"/>
      <c r="F41" s="422"/>
      <c r="G41" s="283"/>
      <c r="H41" s="283"/>
      <c r="I41" s="419"/>
      <c r="J41" s="426"/>
      <c r="K41" s="435"/>
      <c r="L41" s="436"/>
      <c r="M41" s="282"/>
      <c r="N41" s="108"/>
      <c r="O41" s="14"/>
    </row>
    <row r="42" spans="1:17" x14ac:dyDescent="0.2">
      <c r="B42" s="283">
        <v>1</v>
      </c>
      <c r="C42" s="179" t="s">
        <v>438</v>
      </c>
      <c r="D42" s="422" t="s">
        <v>439</v>
      </c>
      <c r="E42" s="421">
        <v>1948</v>
      </c>
      <c r="F42" s="422" t="s">
        <v>411</v>
      </c>
      <c r="G42" s="283" t="s">
        <v>440</v>
      </c>
      <c r="H42" s="283"/>
      <c r="I42" s="419" t="s">
        <v>441</v>
      </c>
      <c r="J42" s="426">
        <v>1.5</v>
      </c>
      <c r="K42" s="435">
        <v>100</v>
      </c>
      <c r="L42" s="436">
        <f>+J42*K42%</f>
        <v>1.5</v>
      </c>
      <c r="M42" s="282" t="s">
        <v>125</v>
      </c>
      <c r="N42" s="108"/>
      <c r="O42" s="14"/>
    </row>
    <row r="43" spans="1:17" ht="15" thickBot="1" x14ac:dyDescent="0.25">
      <c r="B43" s="283"/>
      <c r="C43" s="179"/>
      <c r="D43" s="422"/>
      <c r="E43" s="421"/>
      <c r="F43" s="422"/>
      <c r="G43" s="283"/>
      <c r="H43" s="283"/>
      <c r="I43" s="419"/>
      <c r="J43" s="426"/>
      <c r="K43" s="435"/>
      <c r="L43" s="436"/>
      <c r="M43" s="282"/>
      <c r="N43" s="108"/>
      <c r="O43" s="14"/>
    </row>
    <row r="44" spans="1:17" s="365" customFormat="1" ht="15" thickBot="1" x14ac:dyDescent="0.25">
      <c r="A44" s="13"/>
      <c r="B44" s="284">
        <f>SUM(B42:B42)</f>
        <v>1</v>
      </c>
      <c r="C44" s="81" t="s">
        <v>595</v>
      </c>
      <c r="D44" s="397"/>
      <c r="E44" s="413"/>
      <c r="F44" s="400"/>
      <c r="G44" s="397"/>
      <c r="H44" s="397"/>
      <c r="I44" s="411"/>
      <c r="J44" s="431">
        <f>SUM(J42:J42)</f>
        <v>1.5</v>
      </c>
      <c r="K44" s="437"/>
      <c r="L44" s="433">
        <f>SUM(L42:L42)</f>
        <v>1.5</v>
      </c>
      <c r="M44" s="353"/>
      <c r="N44" s="417"/>
      <c r="O44" s="364"/>
    </row>
    <row r="45" spans="1:17" s="365" customFormat="1" x14ac:dyDescent="0.2">
      <c r="A45" s="13"/>
      <c r="B45" s="190"/>
      <c r="C45" s="84"/>
      <c r="D45" s="283"/>
      <c r="E45" s="421"/>
      <c r="F45" s="179"/>
      <c r="G45" s="283"/>
      <c r="H45" s="283"/>
      <c r="I45" s="392"/>
      <c r="J45" s="434"/>
      <c r="K45" s="435"/>
      <c r="L45" s="434"/>
      <c r="M45" s="424"/>
      <c r="N45" s="417"/>
      <c r="O45" s="364"/>
    </row>
    <row r="46" spans="1:17" s="365" customFormat="1" x14ac:dyDescent="0.2">
      <c r="A46" s="13"/>
      <c r="B46" s="330"/>
      <c r="C46" s="429" t="s">
        <v>454</v>
      </c>
      <c r="D46" s="415"/>
      <c r="E46" s="328"/>
      <c r="F46" s="415"/>
      <c r="G46" s="415"/>
      <c r="H46" s="415"/>
      <c r="I46" s="415"/>
      <c r="J46" s="438"/>
      <c r="K46" s="439"/>
      <c r="L46" s="438"/>
      <c r="M46" s="328"/>
      <c r="N46" s="417"/>
      <c r="O46" s="364"/>
    </row>
    <row r="47" spans="1:17" s="365" customFormat="1" x14ac:dyDescent="0.2">
      <c r="A47" s="13"/>
      <c r="B47" s="330"/>
      <c r="C47" s="414"/>
      <c r="D47" s="415"/>
      <c r="E47" s="328"/>
      <c r="F47" s="415"/>
      <c r="G47" s="415"/>
      <c r="H47" s="415"/>
      <c r="I47" s="415"/>
      <c r="J47" s="438"/>
      <c r="K47" s="439"/>
      <c r="L47" s="438"/>
      <c r="M47" s="328"/>
      <c r="N47" s="417"/>
      <c r="O47" s="364"/>
    </row>
    <row r="48" spans="1:17" s="365" customFormat="1" x14ac:dyDescent="0.2">
      <c r="A48" s="13"/>
      <c r="B48" s="283">
        <v>1</v>
      </c>
      <c r="C48" s="179" t="s">
        <v>442</v>
      </c>
      <c r="D48" s="281" t="s">
        <v>443</v>
      </c>
      <c r="E48" s="418">
        <v>40645</v>
      </c>
      <c r="F48" s="378" t="s">
        <v>401</v>
      </c>
      <c r="G48" s="283"/>
      <c r="H48" s="283"/>
      <c r="I48" s="283"/>
      <c r="J48" s="430">
        <v>0.86480000000000001</v>
      </c>
      <c r="K48" s="426">
        <v>100</v>
      </c>
      <c r="L48" s="430">
        <f>+J48*K48%</f>
        <v>0.86480000000000001</v>
      </c>
      <c r="M48" s="282" t="s">
        <v>125</v>
      </c>
      <c r="N48" s="417"/>
      <c r="O48" s="364"/>
      <c r="Q48" s="409"/>
    </row>
    <row r="49" spans="1:17" s="365" customFormat="1" x14ac:dyDescent="0.2">
      <c r="A49" s="13"/>
      <c r="B49" s="283">
        <v>1</v>
      </c>
      <c r="C49" s="179" t="s">
        <v>444</v>
      </c>
      <c r="D49" s="281" t="s">
        <v>445</v>
      </c>
      <c r="E49" s="418">
        <v>40663</v>
      </c>
      <c r="F49" s="378" t="s">
        <v>401</v>
      </c>
      <c r="G49" s="283"/>
      <c r="H49" s="283"/>
      <c r="I49" s="283"/>
      <c r="J49" s="430">
        <v>0.96879999999999999</v>
      </c>
      <c r="K49" s="426">
        <v>100</v>
      </c>
      <c r="L49" s="430">
        <f>+J49*K49%</f>
        <v>0.96879999999999999</v>
      </c>
      <c r="M49" s="282" t="s">
        <v>125</v>
      </c>
      <c r="N49" s="417"/>
      <c r="O49" s="364"/>
    </row>
    <row r="50" spans="1:17" s="365" customFormat="1" x14ac:dyDescent="0.2">
      <c r="A50" s="13"/>
      <c r="B50" s="283">
        <v>1</v>
      </c>
      <c r="C50" s="179" t="s">
        <v>446</v>
      </c>
      <c r="D50" s="281" t="s">
        <v>447</v>
      </c>
      <c r="E50" s="418">
        <v>40659</v>
      </c>
      <c r="F50" s="378" t="s">
        <v>401</v>
      </c>
      <c r="G50" s="283"/>
      <c r="H50" s="283"/>
      <c r="I50" s="283"/>
      <c r="J50" s="430">
        <v>1.3546499999999999</v>
      </c>
      <c r="K50" s="426">
        <v>100</v>
      </c>
      <c r="L50" s="430">
        <f>+J50*K50%</f>
        <v>1.3546499999999999</v>
      </c>
      <c r="M50" s="282" t="s">
        <v>125</v>
      </c>
      <c r="N50" s="417"/>
      <c r="O50" s="364"/>
    </row>
    <row r="51" spans="1:17" s="365" customFormat="1" ht="15" thickBot="1" x14ac:dyDescent="0.25">
      <c r="A51" s="13"/>
      <c r="B51" s="283"/>
      <c r="C51" s="179"/>
      <c r="D51" s="281"/>
      <c r="E51" s="418"/>
      <c r="F51" s="378"/>
      <c r="G51" s="283"/>
      <c r="H51" s="283"/>
      <c r="I51" s="283"/>
      <c r="J51" s="430"/>
      <c r="K51" s="426"/>
      <c r="L51" s="430"/>
      <c r="M51" s="282"/>
      <c r="N51" s="417"/>
      <c r="O51" s="364"/>
    </row>
    <row r="52" spans="1:17" s="365" customFormat="1" ht="15" thickBot="1" x14ac:dyDescent="0.25">
      <c r="A52" s="13"/>
      <c r="B52" s="284">
        <f>+SUM(B48:B50)</f>
        <v>3</v>
      </c>
      <c r="C52" s="81" t="s">
        <v>448</v>
      </c>
      <c r="D52" s="397"/>
      <c r="E52" s="413"/>
      <c r="F52" s="400"/>
      <c r="G52" s="397"/>
      <c r="H52" s="397"/>
      <c r="I52" s="411"/>
      <c r="J52" s="431">
        <f>SUM(J48:J50)</f>
        <v>3.18825</v>
      </c>
      <c r="K52" s="437"/>
      <c r="L52" s="433">
        <f>SUM(L48:L50)</f>
        <v>3.18825</v>
      </c>
      <c r="M52" s="353"/>
      <c r="N52" s="417"/>
      <c r="O52" s="364"/>
    </row>
    <row r="53" spans="1:17" s="365" customFormat="1" x14ac:dyDescent="0.2">
      <c r="A53" s="13"/>
      <c r="B53" s="190"/>
      <c r="C53" s="84"/>
      <c r="D53" s="283"/>
      <c r="E53" s="421"/>
      <c r="F53" s="179"/>
      <c r="G53" s="283"/>
      <c r="H53" s="283"/>
      <c r="I53" s="392"/>
      <c r="J53" s="434"/>
      <c r="K53" s="435"/>
      <c r="L53" s="434"/>
      <c r="M53" s="424"/>
      <c r="N53" s="417"/>
      <c r="O53" s="364"/>
    </row>
    <row r="54" spans="1:17" s="365" customFormat="1" x14ac:dyDescent="0.2">
      <c r="A54" s="13"/>
      <c r="B54" s="330"/>
      <c r="C54" s="429" t="s">
        <v>597</v>
      </c>
      <c r="D54" s="415"/>
      <c r="E54" s="328"/>
      <c r="F54" s="415"/>
      <c r="G54" s="415"/>
      <c r="H54" s="415"/>
      <c r="I54" s="415"/>
      <c r="J54" s="438"/>
      <c r="K54" s="439"/>
      <c r="L54" s="438"/>
      <c r="M54" s="328"/>
      <c r="N54" s="417"/>
      <c r="O54" s="364"/>
    </row>
    <row r="55" spans="1:17" s="365" customFormat="1" x14ac:dyDescent="0.2">
      <c r="A55" s="13"/>
      <c r="B55" s="330"/>
      <c r="C55" s="414"/>
      <c r="D55" s="415"/>
      <c r="E55" s="328"/>
      <c r="F55" s="415"/>
      <c r="G55" s="415"/>
      <c r="H55" s="415"/>
      <c r="I55" s="415"/>
      <c r="J55" s="438"/>
      <c r="K55" s="439"/>
      <c r="L55" s="438"/>
      <c r="M55" s="328"/>
      <c r="N55" s="417"/>
      <c r="O55" s="364"/>
    </row>
    <row r="56" spans="1:17" s="365" customFormat="1" x14ac:dyDescent="0.2">
      <c r="A56" s="13"/>
      <c r="B56" s="283">
        <v>1</v>
      </c>
      <c r="C56" s="179"/>
      <c r="D56" s="281" t="s">
        <v>449</v>
      </c>
      <c r="E56" s="418">
        <v>1957</v>
      </c>
      <c r="F56" s="378" t="s">
        <v>411</v>
      </c>
      <c r="G56" s="283" t="s">
        <v>450</v>
      </c>
      <c r="H56" s="283" t="s">
        <v>451</v>
      </c>
      <c r="I56" s="283" t="s">
        <v>413</v>
      </c>
      <c r="J56" s="430">
        <v>12</v>
      </c>
      <c r="K56" s="426">
        <v>100</v>
      </c>
      <c r="L56" s="430">
        <f>+J56*K56%</f>
        <v>12</v>
      </c>
      <c r="M56" s="282" t="s">
        <v>125</v>
      </c>
      <c r="N56" s="417"/>
      <c r="O56" s="364"/>
      <c r="Q56" s="409"/>
    </row>
    <row r="57" spans="1:17" s="365" customFormat="1" x14ac:dyDescent="0.2">
      <c r="A57" s="13"/>
      <c r="B57" s="283">
        <v>1</v>
      </c>
      <c r="C57" s="179"/>
      <c r="D57" s="281" t="s">
        <v>452</v>
      </c>
      <c r="E57" s="418">
        <v>2010</v>
      </c>
      <c r="F57" s="378" t="s">
        <v>411</v>
      </c>
      <c r="G57" s="283" t="s">
        <v>450</v>
      </c>
      <c r="H57" s="283" t="s">
        <v>403</v>
      </c>
      <c r="I57" s="283" t="s">
        <v>413</v>
      </c>
      <c r="J57" s="430">
        <v>1.4</v>
      </c>
      <c r="K57" s="426">
        <v>100</v>
      </c>
      <c r="L57" s="430">
        <f>+J57*K57%</f>
        <v>1.4</v>
      </c>
      <c r="M57" s="282" t="s">
        <v>125</v>
      </c>
      <c r="N57" s="417"/>
      <c r="O57" s="364"/>
    </row>
    <row r="58" spans="1:17" s="365" customFormat="1" x14ac:dyDescent="0.2">
      <c r="A58" s="13"/>
      <c r="B58" s="283">
        <v>1</v>
      </c>
      <c r="C58" s="179"/>
      <c r="D58" s="281" t="s">
        <v>1043</v>
      </c>
      <c r="E58" s="418"/>
      <c r="F58" s="378" t="s">
        <v>411</v>
      </c>
      <c r="G58" s="283" t="s">
        <v>450</v>
      </c>
      <c r="H58" s="283" t="s">
        <v>403</v>
      </c>
      <c r="I58" s="283" t="s">
        <v>413</v>
      </c>
      <c r="J58" s="430">
        <v>4.2</v>
      </c>
      <c r="K58" s="426">
        <v>101</v>
      </c>
      <c r="L58" s="430">
        <f>+J58*K58%</f>
        <v>4.242</v>
      </c>
      <c r="M58" s="282" t="s">
        <v>125</v>
      </c>
      <c r="N58" s="417"/>
      <c r="O58" s="364"/>
    </row>
    <row r="59" spans="1:17" s="365" customFormat="1" x14ac:dyDescent="0.2">
      <c r="A59" s="13"/>
      <c r="B59" s="283">
        <v>1</v>
      </c>
      <c r="C59" s="179"/>
      <c r="D59" s="281" t="s">
        <v>453</v>
      </c>
      <c r="E59" s="418"/>
      <c r="F59" s="378" t="s">
        <v>411</v>
      </c>
      <c r="G59" s="283" t="s">
        <v>450</v>
      </c>
      <c r="H59" s="283"/>
      <c r="I59" s="283" t="s">
        <v>454</v>
      </c>
      <c r="J59" s="430">
        <v>0.1</v>
      </c>
      <c r="K59" s="426">
        <v>100</v>
      </c>
      <c r="L59" s="430">
        <f>+J59*K59%</f>
        <v>0.1</v>
      </c>
      <c r="M59" s="282" t="s">
        <v>125</v>
      </c>
      <c r="N59" s="417"/>
      <c r="O59" s="364"/>
    </row>
    <row r="60" spans="1:17" s="365" customFormat="1" ht="15" thickBot="1" x14ac:dyDescent="0.25">
      <c r="A60" s="13"/>
      <c r="B60" s="283"/>
      <c r="C60" s="179"/>
      <c r="D60" s="281"/>
      <c r="E60" s="418"/>
      <c r="F60" s="378"/>
      <c r="G60" s="283"/>
      <c r="H60" s="283"/>
      <c r="I60" s="283"/>
      <c r="J60" s="430"/>
      <c r="K60" s="426"/>
      <c r="L60" s="430"/>
      <c r="M60" s="282"/>
      <c r="N60" s="417"/>
      <c r="O60" s="364"/>
    </row>
    <row r="61" spans="1:17" s="365" customFormat="1" ht="15" thickBot="1" x14ac:dyDescent="0.25">
      <c r="A61" s="13"/>
      <c r="B61" s="284">
        <f>+SUM(B56:B59)</f>
        <v>4</v>
      </c>
      <c r="C61" s="81" t="s">
        <v>455</v>
      </c>
      <c r="D61" s="397"/>
      <c r="E61" s="413"/>
      <c r="F61" s="400"/>
      <c r="G61" s="397"/>
      <c r="H61" s="397"/>
      <c r="I61" s="411"/>
      <c r="J61" s="431">
        <f>+SUM(J56:J59)</f>
        <v>17.700000000000003</v>
      </c>
      <c r="K61" s="433"/>
      <c r="L61" s="433">
        <f>+SUM(L56:L59)</f>
        <v>17.742000000000001</v>
      </c>
      <c r="M61" s="353"/>
      <c r="N61" s="417"/>
      <c r="O61" s="364"/>
    </row>
    <row r="62" spans="1:17" s="365" customFormat="1" ht="15" thickBot="1" x14ac:dyDescent="0.25">
      <c r="A62" s="13"/>
      <c r="B62" s="190"/>
      <c r="C62" s="84"/>
      <c r="D62" s="283"/>
      <c r="E62" s="421"/>
      <c r="F62" s="179"/>
      <c r="G62" s="283"/>
      <c r="H62" s="283"/>
      <c r="I62" s="392"/>
      <c r="J62" s="434"/>
      <c r="K62" s="434"/>
      <c r="L62" s="434"/>
      <c r="M62" s="424"/>
      <c r="N62" s="417"/>
      <c r="O62" s="364"/>
    </row>
    <row r="63" spans="1:17" s="410" customFormat="1" ht="15.75" thickBot="1" x14ac:dyDescent="0.3">
      <c r="A63" s="13"/>
      <c r="B63" s="427">
        <f>+B32+B44+B52+B61+B38</f>
        <v>25</v>
      </c>
      <c r="C63" s="321" t="s">
        <v>456</v>
      </c>
      <c r="D63" s="321"/>
      <c r="E63" s="427"/>
      <c r="F63" s="321"/>
      <c r="G63" s="321"/>
      <c r="H63" s="322"/>
      <c r="I63" s="322"/>
      <c r="J63" s="440">
        <f>+J32+J44+J52+J61+J38</f>
        <v>185.87525000000002</v>
      </c>
      <c r="K63" s="441"/>
      <c r="L63" s="441">
        <f>+L32+L44+L52+L61+L38</f>
        <v>185.91725</v>
      </c>
      <c r="M63" s="428"/>
      <c r="N63" s="425"/>
      <c r="O63" s="317"/>
    </row>
    <row r="64" spans="1:17" x14ac:dyDescent="0.2">
      <c r="B64" s="87"/>
      <c r="C64" s="87"/>
      <c r="D64" s="87"/>
      <c r="E64" s="87"/>
      <c r="F64" s="87"/>
      <c r="G64" s="87"/>
      <c r="H64" s="87"/>
      <c r="I64" s="87"/>
      <c r="J64" s="87"/>
      <c r="K64" s="87"/>
      <c r="L64" s="87"/>
      <c r="M64" s="87"/>
      <c r="N64" s="87"/>
      <c r="O64" s="14"/>
    </row>
    <row r="65" spans="2:15" x14ac:dyDescent="0.2">
      <c r="B65" s="331"/>
      <c r="C65" s="87"/>
      <c r="D65" s="87"/>
      <c r="E65" s="87"/>
      <c r="F65" s="87"/>
      <c r="G65" s="87"/>
      <c r="H65" s="87"/>
      <c r="I65" s="87"/>
      <c r="J65" s="87"/>
      <c r="K65" s="87"/>
      <c r="L65" s="87"/>
      <c r="M65" s="87"/>
      <c r="N65" s="87"/>
      <c r="O65" s="14"/>
    </row>
    <row r="66" spans="2:15" x14ac:dyDescent="0.2">
      <c r="B66" s="87"/>
      <c r="C66" s="388"/>
      <c r="D66" s="87"/>
      <c r="E66" s="87"/>
      <c r="F66" s="87"/>
      <c r="G66" s="87"/>
      <c r="H66" s="87"/>
      <c r="I66" s="87"/>
      <c r="J66" s="87"/>
      <c r="K66" s="87"/>
      <c r="L66" s="87"/>
      <c r="M66" s="87"/>
      <c r="N66" s="87"/>
      <c r="O66" s="14"/>
    </row>
    <row r="67" spans="2:15" x14ac:dyDescent="0.2">
      <c r="B67" s="87"/>
      <c r="C67" s="87"/>
      <c r="D67" s="87"/>
      <c r="E67" s="87"/>
      <c r="F67" s="87"/>
      <c r="G67" s="87"/>
      <c r="H67" s="87"/>
      <c r="I67" s="87"/>
      <c r="J67" s="87"/>
      <c r="K67" s="87"/>
      <c r="L67" s="87"/>
      <c r="M67" s="87"/>
      <c r="N67" s="87"/>
      <c r="O67" s="14"/>
    </row>
    <row r="68" spans="2:15" ht="16.5" customHeight="1" thickBot="1" x14ac:dyDescent="0.3">
      <c r="C68" s="305" t="s">
        <v>284</v>
      </c>
      <c r="D68" s="516" t="s">
        <v>411</v>
      </c>
      <c r="E68" s="516"/>
      <c r="F68" s="515" t="s">
        <v>457</v>
      </c>
      <c r="G68" s="515"/>
      <c r="H68" s="516" t="s">
        <v>458</v>
      </c>
      <c r="I68" s="516"/>
      <c r="J68" s="87"/>
      <c r="K68" s="87"/>
      <c r="L68" s="87"/>
      <c r="M68" s="87"/>
      <c r="N68" s="87"/>
      <c r="O68" s="14"/>
    </row>
    <row r="69" spans="2:15" ht="15.75" x14ac:dyDescent="0.2">
      <c r="C69" s="524"/>
      <c r="D69" s="445" t="s">
        <v>118</v>
      </c>
      <c r="E69" s="445" t="s">
        <v>780</v>
      </c>
      <c r="F69" s="446" t="s">
        <v>118</v>
      </c>
      <c r="G69" s="445" t="s">
        <v>780</v>
      </c>
      <c r="H69" s="447" t="s">
        <v>118</v>
      </c>
      <c r="I69" s="447" t="s">
        <v>780</v>
      </c>
      <c r="J69" s="87"/>
      <c r="K69" s="87"/>
      <c r="L69" s="87"/>
      <c r="M69" s="87"/>
      <c r="N69" s="87"/>
      <c r="O69" s="14"/>
    </row>
    <row r="70" spans="2:15" x14ac:dyDescent="0.2">
      <c r="C70" s="525"/>
      <c r="D70" s="526"/>
      <c r="E70" s="526"/>
      <c r="F70" s="527"/>
      <c r="G70" s="526"/>
      <c r="H70" s="528"/>
      <c r="I70" s="528"/>
      <c r="J70" s="87"/>
      <c r="K70" s="87"/>
      <c r="L70" s="87"/>
      <c r="M70" s="87"/>
      <c r="N70" s="87"/>
      <c r="O70" s="14"/>
    </row>
    <row r="71" spans="2:15" x14ac:dyDescent="0.2">
      <c r="C71" s="522" t="s">
        <v>87</v>
      </c>
      <c r="D71" s="452">
        <f>+D72+D73</f>
        <v>161.209</v>
      </c>
      <c r="E71" s="452">
        <f>+E72+E73</f>
        <v>15</v>
      </c>
      <c r="F71" s="451">
        <f>+F72+F73</f>
        <v>7.92</v>
      </c>
      <c r="G71" s="452">
        <f>+G72+G73</f>
        <v>4</v>
      </c>
      <c r="H71" s="523">
        <f>+D71+F71</f>
        <v>169.12899999999999</v>
      </c>
      <c r="I71" s="523">
        <f>+E71+G71</f>
        <v>19</v>
      </c>
      <c r="J71" s="87"/>
      <c r="K71" s="87"/>
      <c r="L71" s="87"/>
      <c r="M71" s="87"/>
      <c r="N71" s="87"/>
      <c r="O71" s="14"/>
    </row>
    <row r="72" spans="2:15" x14ac:dyDescent="0.2">
      <c r="C72" s="442" t="s">
        <v>459</v>
      </c>
      <c r="D72" s="448">
        <f>+SUM(L18:L30)</f>
        <v>155.56700000000001</v>
      </c>
      <c r="E72" s="448">
        <f>+SUM(B18:B30)</f>
        <v>13</v>
      </c>
      <c r="F72" s="449">
        <f>+SUM(L15:L17)+L36</f>
        <v>7.92</v>
      </c>
      <c r="G72" s="448">
        <f>+SUM(B15:B17)+B36</f>
        <v>4</v>
      </c>
      <c r="H72" s="450">
        <f t="shared" ref="H72:H77" si="1">+D72+F72</f>
        <v>163.48699999999999</v>
      </c>
      <c r="I72" s="450">
        <f>+G72+E72</f>
        <v>17</v>
      </c>
      <c r="J72" s="87"/>
      <c r="K72" s="87"/>
      <c r="L72" s="87"/>
      <c r="M72" s="87"/>
      <c r="N72" s="87"/>
      <c r="O72" s="14"/>
    </row>
    <row r="73" spans="2:15" x14ac:dyDescent="0.2">
      <c r="C73" s="443" t="s">
        <v>460</v>
      </c>
      <c r="D73" s="448">
        <f>+SUM(L57:L58)</f>
        <v>5.6419999999999995</v>
      </c>
      <c r="E73" s="448">
        <f>+SUM(B57:B58)</f>
        <v>2</v>
      </c>
      <c r="F73" s="451"/>
      <c r="G73" s="452"/>
      <c r="H73" s="450">
        <f t="shared" si="1"/>
        <v>5.6419999999999995</v>
      </c>
      <c r="I73" s="450">
        <f>+G73+E73</f>
        <v>2</v>
      </c>
      <c r="J73" s="87"/>
      <c r="K73" s="87"/>
      <c r="L73" s="87"/>
      <c r="M73" s="87"/>
      <c r="N73" s="87"/>
      <c r="O73" s="14"/>
    </row>
    <row r="74" spans="2:15" x14ac:dyDescent="0.2">
      <c r="C74" s="522" t="s">
        <v>461</v>
      </c>
      <c r="D74" s="452">
        <f>+L56</f>
        <v>12</v>
      </c>
      <c r="E74" s="452">
        <f>+B56</f>
        <v>1</v>
      </c>
      <c r="F74" s="451"/>
      <c r="G74" s="452"/>
      <c r="H74" s="523">
        <f t="shared" si="1"/>
        <v>12</v>
      </c>
      <c r="I74" s="523">
        <f>+E74+G74</f>
        <v>1</v>
      </c>
      <c r="J74" s="87"/>
      <c r="K74" s="87"/>
      <c r="L74" s="87"/>
      <c r="M74" s="87"/>
      <c r="N74" s="87"/>
      <c r="O74" s="14"/>
    </row>
    <row r="75" spans="2:15" x14ac:dyDescent="0.2">
      <c r="C75" s="522" t="s">
        <v>462</v>
      </c>
      <c r="D75" s="452">
        <f>+L42</f>
        <v>1.5</v>
      </c>
      <c r="E75" s="452">
        <f>+B42</f>
        <v>1</v>
      </c>
      <c r="F75" s="451"/>
      <c r="G75" s="452"/>
      <c r="H75" s="523">
        <f t="shared" si="1"/>
        <v>1.5</v>
      </c>
      <c r="I75" s="523">
        <f>+E75+G75</f>
        <v>1</v>
      </c>
      <c r="J75" s="87"/>
      <c r="K75" s="87"/>
      <c r="L75" s="87"/>
      <c r="M75" s="87"/>
      <c r="N75" s="87"/>
      <c r="O75" s="14"/>
    </row>
    <row r="76" spans="2:15" x14ac:dyDescent="0.2">
      <c r="C76" s="522" t="s">
        <v>454</v>
      </c>
      <c r="D76" s="452">
        <f>+D77+D78</f>
        <v>0.1</v>
      </c>
      <c r="E76" s="452">
        <f>+E78+E77</f>
        <v>1</v>
      </c>
      <c r="F76" s="451">
        <f>+F77+F78</f>
        <v>3.18825</v>
      </c>
      <c r="G76" s="452">
        <f>+G77+G78</f>
        <v>3</v>
      </c>
      <c r="H76" s="523">
        <f t="shared" si="1"/>
        <v>3.2882500000000001</v>
      </c>
      <c r="I76" s="523">
        <f>+E76+G76</f>
        <v>4</v>
      </c>
      <c r="J76" s="87"/>
      <c r="K76" s="87"/>
      <c r="L76" s="87"/>
      <c r="M76" s="87"/>
      <c r="N76" s="87"/>
      <c r="O76" s="14"/>
    </row>
    <row r="77" spans="2:15" x14ac:dyDescent="0.2">
      <c r="C77" s="442" t="s">
        <v>459</v>
      </c>
      <c r="D77" s="448">
        <v>0</v>
      </c>
      <c r="E77" s="448">
        <v>0</v>
      </c>
      <c r="F77" s="449">
        <f>+SUM(L48:L50)</f>
        <v>3.18825</v>
      </c>
      <c r="G77" s="448">
        <f>+SUM(B48:B50)</f>
        <v>3</v>
      </c>
      <c r="H77" s="450">
        <f t="shared" si="1"/>
        <v>3.18825</v>
      </c>
      <c r="I77" s="450">
        <f>+G77+E77</f>
        <v>3</v>
      </c>
      <c r="J77" s="87"/>
      <c r="K77" s="87"/>
      <c r="L77" s="87"/>
      <c r="M77" s="87"/>
      <c r="N77" s="87"/>
      <c r="O77" s="14"/>
    </row>
    <row r="78" spans="2:15" x14ac:dyDescent="0.2">
      <c r="C78" s="443" t="s">
        <v>460</v>
      </c>
      <c r="D78" s="452">
        <f>+L59</f>
        <v>0.1</v>
      </c>
      <c r="E78" s="448">
        <f>+B59</f>
        <v>1</v>
      </c>
      <c r="F78" s="451"/>
      <c r="G78" s="452"/>
      <c r="H78" s="450">
        <f>+D78</f>
        <v>0.1</v>
      </c>
      <c r="I78" s="450">
        <v>1</v>
      </c>
      <c r="J78" s="87"/>
      <c r="K78" s="87"/>
      <c r="L78" s="87"/>
      <c r="M78" s="87"/>
      <c r="N78" s="87"/>
      <c r="O78" s="14"/>
    </row>
    <row r="79" spans="2:15" ht="15" thickBot="1" x14ac:dyDescent="0.25">
      <c r="C79" s="443"/>
      <c r="D79" s="452"/>
      <c r="E79" s="448"/>
      <c r="F79" s="451"/>
      <c r="G79" s="452"/>
      <c r="H79" s="450"/>
      <c r="I79" s="450"/>
      <c r="J79" s="87"/>
      <c r="K79" s="87"/>
      <c r="L79" s="87"/>
      <c r="M79" s="87"/>
      <c r="N79" s="87"/>
      <c r="O79" s="14"/>
    </row>
    <row r="80" spans="2:15" ht="16.5" thickBot="1" x14ac:dyDescent="0.3">
      <c r="C80" s="444" t="s">
        <v>458</v>
      </c>
      <c r="D80" s="453">
        <f t="shared" ref="D80:I80" si="2">+D71+D74+D75+D76</f>
        <v>174.809</v>
      </c>
      <c r="E80" s="453">
        <f t="shared" si="2"/>
        <v>18</v>
      </c>
      <c r="F80" s="454">
        <f t="shared" si="2"/>
        <v>11.10825</v>
      </c>
      <c r="G80" s="453">
        <f t="shared" si="2"/>
        <v>7</v>
      </c>
      <c r="H80" s="455">
        <f t="shared" si="2"/>
        <v>185.91725</v>
      </c>
      <c r="I80" s="455">
        <f t="shared" si="2"/>
        <v>25</v>
      </c>
      <c r="J80" s="87"/>
      <c r="K80" s="87"/>
      <c r="L80" s="87"/>
      <c r="M80" s="87"/>
      <c r="N80" s="87"/>
      <c r="O80" s="14"/>
    </row>
    <row r="81" spans="2:15" x14ac:dyDescent="0.2">
      <c r="B81" s="87"/>
      <c r="C81" s="87"/>
      <c r="D81" s="87"/>
      <c r="E81" s="87"/>
      <c r="F81" s="87"/>
      <c r="G81" s="87"/>
      <c r="H81" s="87"/>
      <c r="I81" s="87"/>
      <c r="J81" s="87"/>
      <c r="K81" s="87"/>
      <c r="L81" s="87"/>
      <c r="M81" s="87"/>
      <c r="N81" s="87"/>
      <c r="O81" s="14"/>
    </row>
    <row r="82" spans="2:15" x14ac:dyDescent="0.2">
      <c r="B82" s="87"/>
      <c r="C82" s="87"/>
      <c r="D82" s="87"/>
      <c r="E82" s="87"/>
      <c r="F82" s="87"/>
      <c r="G82" s="87"/>
      <c r="H82" s="87"/>
      <c r="I82" s="87"/>
      <c r="J82" s="87"/>
      <c r="K82" s="108"/>
      <c r="L82" s="108"/>
      <c r="M82" s="108"/>
      <c r="N82" s="108"/>
    </row>
    <row r="83" spans="2:15" x14ac:dyDescent="0.2">
      <c r="B83" s="108"/>
      <c r="C83" s="108"/>
      <c r="D83" s="108"/>
      <c r="E83" s="108"/>
      <c r="F83" s="108"/>
      <c r="G83" s="108"/>
      <c r="H83" s="108"/>
      <c r="I83" s="108"/>
      <c r="J83" s="108"/>
      <c r="K83" s="108"/>
      <c r="L83" s="108"/>
      <c r="M83" s="108"/>
      <c r="N83" s="108"/>
    </row>
    <row r="84" spans="2:15" x14ac:dyDescent="0.2">
      <c r="B84" s="108"/>
      <c r="C84" s="108"/>
      <c r="D84" s="108"/>
      <c r="E84" s="108"/>
      <c r="F84" s="108"/>
      <c r="G84" s="108"/>
      <c r="H84" s="108"/>
      <c r="I84" s="108"/>
      <c r="J84" s="108"/>
      <c r="K84" s="108"/>
      <c r="L84" s="108"/>
      <c r="M84" s="108"/>
      <c r="N84" s="108"/>
    </row>
    <row r="85" spans="2:15" x14ac:dyDescent="0.2">
      <c r="B85" s="108"/>
      <c r="C85" s="108"/>
      <c r="D85" s="108"/>
      <c r="E85" s="108"/>
      <c r="F85" s="108"/>
      <c r="G85" s="108"/>
      <c r="H85" s="108"/>
      <c r="I85" s="108"/>
      <c r="J85" s="108"/>
      <c r="K85" s="108"/>
      <c r="L85" s="108"/>
      <c r="M85" s="108"/>
      <c r="N85" s="108"/>
    </row>
    <row r="86" spans="2:15" x14ac:dyDescent="0.2">
      <c r="B86" s="108"/>
      <c r="C86" s="108"/>
      <c r="D86" s="108"/>
      <c r="E86" s="108"/>
      <c r="F86" s="108"/>
      <c r="G86" s="108"/>
      <c r="H86" s="108"/>
      <c r="I86" s="108"/>
      <c r="J86" s="108"/>
      <c r="K86" s="108"/>
      <c r="L86" s="108"/>
      <c r="M86" s="108"/>
      <c r="N86" s="108"/>
    </row>
    <row r="87" spans="2:15" x14ac:dyDescent="0.2">
      <c r="B87" s="108"/>
      <c r="C87" s="108"/>
      <c r="D87" s="108"/>
      <c r="E87" s="108"/>
      <c r="F87" s="108"/>
      <c r="G87" s="108"/>
      <c r="H87" s="108"/>
      <c r="I87" s="108"/>
      <c r="J87" s="108"/>
      <c r="K87" s="108"/>
      <c r="L87" s="108"/>
      <c r="M87" s="108"/>
      <c r="N87" s="108"/>
    </row>
    <row r="88" spans="2:15" x14ac:dyDescent="0.2">
      <c r="B88" s="108"/>
      <c r="C88" s="108"/>
      <c r="D88" s="108"/>
      <c r="E88" s="108"/>
      <c r="F88" s="108"/>
      <c r="G88" s="108"/>
      <c r="H88" s="108"/>
      <c r="I88" s="108"/>
      <c r="J88" s="108"/>
      <c r="K88" s="108"/>
      <c r="L88" s="108"/>
      <c r="M88" s="108"/>
      <c r="N88" s="108"/>
    </row>
    <row r="89" spans="2:15" x14ac:dyDescent="0.2">
      <c r="B89" s="108"/>
      <c r="C89" s="108"/>
      <c r="D89" s="108"/>
      <c r="E89" s="108"/>
      <c r="F89" s="108"/>
      <c r="G89" s="108"/>
      <c r="H89" s="108"/>
      <c r="I89" s="108"/>
      <c r="J89" s="108"/>
      <c r="K89" s="108"/>
      <c r="L89" s="108"/>
      <c r="M89" s="108"/>
      <c r="N89" s="108"/>
    </row>
    <row r="90" spans="2:15" x14ac:dyDescent="0.2">
      <c r="B90" s="108"/>
      <c r="C90" s="108"/>
      <c r="D90" s="108"/>
      <c r="E90" s="108"/>
      <c r="F90" s="108"/>
      <c r="G90" s="108"/>
      <c r="H90" s="108"/>
      <c r="I90" s="108"/>
      <c r="J90" s="108"/>
      <c r="K90" s="108"/>
      <c r="L90" s="108"/>
      <c r="M90" s="108"/>
      <c r="N90" s="108"/>
    </row>
    <row r="91" spans="2:15" x14ac:dyDescent="0.2">
      <c r="B91" s="108"/>
      <c r="C91" s="108"/>
      <c r="D91" s="108"/>
      <c r="E91" s="108"/>
      <c r="F91" s="108"/>
      <c r="G91" s="108"/>
      <c r="H91" s="108"/>
      <c r="I91" s="108"/>
      <c r="J91" s="108"/>
      <c r="K91" s="108"/>
      <c r="L91" s="108"/>
      <c r="M91" s="108"/>
      <c r="N91" s="108"/>
    </row>
    <row r="92" spans="2:15" x14ac:dyDescent="0.2">
      <c r="B92" s="108"/>
      <c r="C92" s="108"/>
      <c r="D92" s="108"/>
      <c r="E92" s="108"/>
      <c r="F92" s="108"/>
      <c r="G92" s="108"/>
      <c r="H92" s="108"/>
      <c r="I92" s="108"/>
      <c r="J92" s="108"/>
      <c r="K92" s="108"/>
      <c r="L92" s="108"/>
      <c r="M92" s="108"/>
      <c r="N92" s="108"/>
    </row>
    <row r="93" spans="2:15" x14ac:dyDescent="0.2">
      <c r="B93" s="108"/>
      <c r="C93" s="108"/>
      <c r="D93" s="108"/>
      <c r="E93" s="108"/>
      <c r="F93" s="108"/>
      <c r="G93" s="108"/>
      <c r="H93" s="108"/>
      <c r="I93" s="108"/>
      <c r="J93" s="108"/>
      <c r="K93" s="108"/>
      <c r="L93" s="108"/>
      <c r="M93" s="108"/>
      <c r="N93" s="108"/>
    </row>
    <row r="94" spans="2:15" x14ac:dyDescent="0.2">
      <c r="B94" s="108"/>
      <c r="C94" s="108"/>
      <c r="D94" s="108"/>
      <c r="E94" s="108"/>
      <c r="F94" s="108"/>
      <c r="G94" s="108"/>
      <c r="H94" s="108"/>
      <c r="I94" s="108"/>
      <c r="J94" s="108"/>
      <c r="K94" s="108"/>
      <c r="L94" s="108"/>
      <c r="M94" s="108"/>
      <c r="N94" s="108"/>
    </row>
    <row r="95" spans="2:15" x14ac:dyDescent="0.2">
      <c r="B95" s="108"/>
      <c r="C95" s="108"/>
      <c r="D95" s="108"/>
      <c r="E95" s="108"/>
      <c r="F95" s="108"/>
      <c r="G95" s="108"/>
      <c r="H95" s="108"/>
      <c r="I95" s="108"/>
      <c r="J95" s="108"/>
      <c r="K95" s="108"/>
      <c r="L95" s="108"/>
      <c r="M95" s="108"/>
      <c r="N95" s="108"/>
    </row>
    <row r="96" spans="2:15" x14ac:dyDescent="0.2">
      <c r="B96" s="108"/>
      <c r="C96" s="108"/>
      <c r="D96" s="108"/>
      <c r="E96" s="108"/>
      <c r="F96" s="108"/>
      <c r="G96" s="108"/>
      <c r="H96" s="108"/>
      <c r="I96" s="108"/>
      <c r="J96" s="108"/>
      <c r="K96" s="108"/>
      <c r="L96" s="108"/>
      <c r="M96" s="108"/>
      <c r="N96" s="108"/>
    </row>
    <row r="97" spans="2:14" x14ac:dyDescent="0.2">
      <c r="B97" s="108"/>
      <c r="C97" s="108"/>
      <c r="D97" s="108"/>
      <c r="E97" s="108"/>
      <c r="F97" s="108"/>
      <c r="G97" s="108"/>
      <c r="H97" s="108"/>
      <c r="I97" s="108"/>
      <c r="J97" s="108"/>
      <c r="K97" s="108"/>
      <c r="L97" s="108"/>
      <c r="M97" s="108"/>
      <c r="N97" s="108"/>
    </row>
    <row r="98" spans="2:14" x14ac:dyDescent="0.2">
      <c r="B98" s="108"/>
      <c r="C98" s="108"/>
      <c r="D98" s="108"/>
      <c r="E98" s="108"/>
      <c r="F98" s="108"/>
      <c r="G98" s="108"/>
      <c r="H98" s="108"/>
      <c r="I98" s="108"/>
      <c r="J98" s="108"/>
      <c r="K98" s="108"/>
      <c r="L98" s="108"/>
      <c r="M98" s="108"/>
      <c r="N98" s="108"/>
    </row>
    <row r="99" spans="2:14" x14ac:dyDescent="0.2">
      <c r="B99" s="108"/>
      <c r="C99" s="108"/>
      <c r="D99" s="108"/>
      <c r="E99" s="108"/>
      <c r="F99" s="108"/>
      <c r="G99" s="108"/>
      <c r="H99" s="108"/>
      <c r="I99" s="108"/>
      <c r="J99" s="108"/>
      <c r="K99" s="108"/>
      <c r="L99" s="108"/>
      <c r="M99" s="108"/>
      <c r="N99" s="108"/>
    </row>
    <row r="100" spans="2:14" x14ac:dyDescent="0.2">
      <c r="B100" s="108"/>
      <c r="C100" s="108"/>
      <c r="D100" s="108"/>
      <c r="E100" s="108"/>
      <c r="F100" s="108"/>
      <c r="G100" s="108"/>
      <c r="H100" s="108"/>
      <c r="I100" s="108"/>
      <c r="J100" s="108"/>
      <c r="K100" s="108"/>
      <c r="L100" s="108"/>
      <c r="M100" s="108"/>
      <c r="N100" s="108"/>
    </row>
    <row r="101" spans="2:14" x14ac:dyDescent="0.2">
      <c r="B101" s="108"/>
      <c r="C101" s="108"/>
      <c r="D101" s="108"/>
      <c r="E101" s="108"/>
      <c r="F101" s="108"/>
      <c r="G101" s="108"/>
      <c r="H101" s="108"/>
      <c r="I101" s="108"/>
      <c r="J101" s="108"/>
      <c r="K101" s="108"/>
      <c r="L101" s="108"/>
      <c r="M101" s="108"/>
      <c r="N101" s="108"/>
    </row>
    <row r="102" spans="2:14" x14ac:dyDescent="0.2">
      <c r="B102" s="108"/>
      <c r="C102" s="108"/>
      <c r="D102" s="108"/>
      <c r="E102" s="108"/>
      <c r="F102" s="108"/>
      <c r="G102" s="108"/>
      <c r="H102" s="108"/>
      <c r="I102" s="108"/>
      <c r="J102" s="108"/>
      <c r="K102" s="108"/>
      <c r="L102" s="108"/>
      <c r="M102" s="108"/>
      <c r="N102" s="108"/>
    </row>
    <row r="103" spans="2:14" x14ac:dyDescent="0.2">
      <c r="B103" s="108"/>
      <c r="C103" s="108"/>
      <c r="D103" s="108"/>
      <c r="E103" s="108"/>
      <c r="F103" s="108"/>
      <c r="G103" s="108"/>
      <c r="H103" s="108"/>
      <c r="I103" s="108"/>
      <c r="J103" s="108"/>
      <c r="K103" s="108"/>
      <c r="L103" s="108"/>
      <c r="M103" s="108"/>
      <c r="N103" s="108"/>
    </row>
    <row r="104" spans="2:14" x14ac:dyDescent="0.2">
      <c r="B104" s="108"/>
      <c r="C104" s="108"/>
      <c r="D104" s="108"/>
      <c r="E104" s="108"/>
      <c r="F104" s="108"/>
      <c r="G104" s="108"/>
      <c r="H104" s="108"/>
      <c r="I104" s="108"/>
      <c r="J104" s="108"/>
      <c r="K104" s="108"/>
      <c r="L104" s="108"/>
      <c r="M104" s="108"/>
      <c r="N104" s="108"/>
    </row>
    <row r="105" spans="2:14" x14ac:dyDescent="0.2">
      <c r="B105" s="108"/>
      <c r="C105" s="108"/>
      <c r="D105" s="108"/>
      <c r="E105" s="108"/>
      <c r="F105" s="108"/>
      <c r="G105" s="108"/>
      <c r="H105" s="108"/>
      <c r="I105" s="108"/>
      <c r="J105" s="108"/>
      <c r="K105" s="108"/>
      <c r="L105" s="108"/>
      <c r="M105" s="108"/>
      <c r="N105" s="108"/>
    </row>
    <row r="106" spans="2:14" x14ac:dyDescent="0.2">
      <c r="B106" s="108"/>
      <c r="C106" s="108"/>
      <c r="D106" s="108"/>
      <c r="E106" s="108"/>
      <c r="F106" s="108"/>
      <c r="G106" s="108"/>
      <c r="H106" s="108"/>
      <c r="I106" s="108"/>
      <c r="J106" s="108"/>
      <c r="K106" s="108"/>
      <c r="L106" s="108"/>
      <c r="M106" s="108"/>
      <c r="N106" s="108"/>
    </row>
    <row r="107" spans="2:14" x14ac:dyDescent="0.2">
      <c r="B107" s="108"/>
      <c r="C107" s="108"/>
      <c r="D107" s="108"/>
      <c r="E107" s="108"/>
      <c r="F107" s="108"/>
      <c r="G107" s="108"/>
      <c r="H107" s="108"/>
      <c r="I107" s="108"/>
      <c r="J107" s="108"/>
      <c r="K107" s="108"/>
      <c r="L107" s="108"/>
      <c r="M107" s="108"/>
      <c r="N107" s="108"/>
    </row>
    <row r="108" spans="2:14" x14ac:dyDescent="0.2">
      <c r="B108" s="108"/>
      <c r="C108" s="108"/>
      <c r="D108" s="108"/>
      <c r="E108" s="108"/>
      <c r="F108" s="108"/>
      <c r="G108" s="108"/>
      <c r="H108" s="108"/>
      <c r="I108" s="108"/>
      <c r="J108" s="108"/>
      <c r="K108" s="108"/>
      <c r="L108" s="108"/>
      <c r="M108" s="108"/>
      <c r="N108" s="108"/>
    </row>
    <row r="109" spans="2:14" x14ac:dyDescent="0.2">
      <c r="B109" s="108"/>
      <c r="C109" s="108"/>
      <c r="D109" s="108"/>
      <c r="E109" s="108"/>
      <c r="F109" s="108"/>
      <c r="G109" s="108"/>
      <c r="H109" s="108"/>
      <c r="I109" s="108"/>
      <c r="J109" s="108"/>
      <c r="K109" s="108"/>
      <c r="L109" s="108"/>
      <c r="M109" s="108"/>
      <c r="N109" s="108"/>
    </row>
    <row r="110" spans="2:14" x14ac:dyDescent="0.2">
      <c r="B110" s="108"/>
      <c r="C110" s="108"/>
      <c r="D110" s="108"/>
      <c r="E110" s="108"/>
      <c r="F110" s="108"/>
      <c r="G110" s="108"/>
      <c r="H110" s="108"/>
      <c r="I110" s="108"/>
      <c r="J110" s="108"/>
      <c r="K110" s="108"/>
      <c r="L110" s="108"/>
      <c r="M110" s="108"/>
      <c r="N110" s="108"/>
    </row>
    <row r="111" spans="2:14" x14ac:dyDescent="0.2">
      <c r="B111" s="108"/>
      <c r="C111" s="108"/>
      <c r="D111" s="108"/>
      <c r="E111" s="108"/>
      <c r="F111" s="108"/>
      <c r="G111" s="108"/>
      <c r="H111" s="108"/>
      <c r="I111" s="108"/>
      <c r="J111" s="108"/>
      <c r="K111" s="108"/>
      <c r="L111" s="108"/>
      <c r="M111" s="108"/>
      <c r="N111" s="108"/>
    </row>
    <row r="112" spans="2:14" x14ac:dyDescent="0.2">
      <c r="B112" s="108"/>
      <c r="C112" s="108"/>
      <c r="D112" s="108"/>
      <c r="E112" s="108"/>
      <c r="F112" s="108"/>
      <c r="G112" s="108"/>
      <c r="H112" s="108"/>
      <c r="I112" s="108"/>
      <c r="J112" s="108"/>
      <c r="K112" s="108"/>
      <c r="L112" s="108"/>
      <c r="M112" s="108"/>
      <c r="N112" s="108"/>
    </row>
  </sheetData>
  <pageMargins left="0.7" right="0.7" top="0.75" bottom="0.75" header="0.3" footer="0.3"/>
  <pageSetup paperSize="9" scale="4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4A95E-D20F-4C3E-80B9-A825EEF17AA2}">
  <sheetPr>
    <tabColor theme="7"/>
  </sheetPr>
  <dimension ref="A6:K89"/>
  <sheetViews>
    <sheetView showGridLines="0" topLeftCell="A25" zoomScaleNormal="100" workbookViewId="0">
      <selection activeCell="B50" sqref="B50"/>
    </sheetView>
  </sheetViews>
  <sheetFormatPr defaultColWidth="9.140625" defaultRowHeight="14.25" x14ac:dyDescent="0.2"/>
  <cols>
    <col min="1" max="1" width="5.7109375" style="13" customWidth="1"/>
    <col min="2" max="2" width="31.140625" style="105" customWidth="1"/>
    <col min="3" max="6" width="10.28515625" style="105" bestFit="1" customWidth="1"/>
    <col min="7" max="16384" width="9.140625" style="105"/>
  </cols>
  <sheetData>
    <row r="6" spans="2:6" x14ac:dyDescent="0.2">
      <c r="C6" s="80"/>
      <c r="D6" s="80"/>
      <c r="E6" s="80"/>
      <c r="F6" s="80"/>
    </row>
    <row r="7" spans="2:6" x14ac:dyDescent="0.2">
      <c r="C7" s="459"/>
      <c r="D7" s="459"/>
      <c r="E7" s="459"/>
      <c r="F7" s="459"/>
    </row>
    <row r="8" spans="2:6" x14ac:dyDescent="0.2">
      <c r="C8" s="2"/>
      <c r="D8" s="2"/>
      <c r="E8" s="2"/>
      <c r="F8" s="2"/>
    </row>
    <row r="9" spans="2:6" ht="16.5" thickBot="1" x14ac:dyDescent="0.3">
      <c r="B9" s="461" t="s">
        <v>903</v>
      </c>
      <c r="C9" s="461">
        <v>2015</v>
      </c>
      <c r="D9" s="461">
        <v>2016</v>
      </c>
      <c r="E9" s="461">
        <v>2017</v>
      </c>
      <c r="F9" s="461">
        <v>2018</v>
      </c>
    </row>
    <row r="10" spans="2:6" x14ac:dyDescent="0.2">
      <c r="B10" s="456"/>
      <c r="C10" s="462"/>
      <c r="D10" s="462"/>
      <c r="E10" s="462"/>
      <c r="F10" s="462"/>
    </row>
    <row r="11" spans="2:6" ht="15" x14ac:dyDescent="0.25">
      <c r="B11" s="463" t="s">
        <v>794</v>
      </c>
    </row>
    <row r="13" spans="2:6" x14ac:dyDescent="0.2">
      <c r="B13" s="44" t="s">
        <v>529</v>
      </c>
      <c r="C13" s="198">
        <v>5955017</v>
      </c>
      <c r="D13" s="198">
        <v>7767959</v>
      </c>
      <c r="E13" s="198">
        <v>7678742</v>
      </c>
      <c r="F13" s="198">
        <v>6968615</v>
      </c>
    </row>
    <row r="14" spans="2:6" x14ac:dyDescent="0.2">
      <c r="B14" s="44" t="s">
        <v>528</v>
      </c>
      <c r="C14" s="198">
        <v>128337</v>
      </c>
      <c r="D14" s="198">
        <v>142180</v>
      </c>
      <c r="E14" s="198">
        <v>136629</v>
      </c>
      <c r="F14" s="198">
        <v>119236</v>
      </c>
    </row>
    <row r="15" spans="2:6" x14ac:dyDescent="0.2">
      <c r="B15" s="44" t="s">
        <v>530</v>
      </c>
      <c r="C15" s="198">
        <v>299</v>
      </c>
      <c r="D15" s="198">
        <v>1813</v>
      </c>
      <c r="E15" s="198">
        <v>1813</v>
      </c>
      <c r="F15" s="198">
        <v>1614</v>
      </c>
    </row>
    <row r="16" spans="2:6" x14ac:dyDescent="0.2">
      <c r="B16" s="44" t="s">
        <v>531</v>
      </c>
      <c r="C16" s="198">
        <v>1634</v>
      </c>
      <c r="D16" s="198">
        <v>1639</v>
      </c>
      <c r="E16" s="198">
        <v>1639</v>
      </c>
      <c r="F16" s="198">
        <v>1363</v>
      </c>
    </row>
    <row r="17" spans="2:6" x14ac:dyDescent="0.2">
      <c r="B17" s="105" t="s">
        <v>680</v>
      </c>
      <c r="C17" s="116">
        <v>27919</v>
      </c>
      <c r="D17" s="116">
        <v>113480</v>
      </c>
      <c r="E17" s="116">
        <v>117514</v>
      </c>
      <c r="F17" s="116">
        <v>115164</v>
      </c>
    </row>
    <row r="18" spans="2:6" ht="15" thickBot="1" x14ac:dyDescent="0.25">
      <c r="C18" s="116"/>
      <c r="D18" s="116"/>
      <c r="E18" s="116"/>
      <c r="F18" s="116"/>
    </row>
    <row r="19" spans="2:6" ht="15" thickBot="1" x14ac:dyDescent="0.25">
      <c r="B19" s="81" t="s">
        <v>526</v>
      </c>
      <c r="C19" s="120">
        <f>SUM(C13:C17)</f>
        <v>6113206</v>
      </c>
      <c r="D19" s="120">
        <f>SUM(D13:D17)</f>
        <v>8027071</v>
      </c>
      <c r="E19" s="120">
        <f>SUM(E13:E17)</f>
        <v>7936337</v>
      </c>
      <c r="F19" s="120">
        <f>SUM(F13:F17)</f>
        <v>7205992</v>
      </c>
    </row>
    <row r="20" spans="2:6" x14ac:dyDescent="0.2">
      <c r="C20" s="116"/>
      <c r="D20" s="116"/>
      <c r="E20" s="116"/>
      <c r="F20" s="116"/>
    </row>
    <row r="21" spans="2:6" x14ac:dyDescent="0.2">
      <c r="B21" s="44" t="s">
        <v>898</v>
      </c>
      <c r="C21" s="198">
        <v>53789</v>
      </c>
      <c r="D21" s="198">
        <v>59917</v>
      </c>
      <c r="E21" s="198">
        <v>200802</v>
      </c>
      <c r="F21" s="198">
        <v>168031</v>
      </c>
    </row>
    <row r="22" spans="2:6" ht="15" thickBot="1" x14ac:dyDescent="0.25">
      <c r="B22" s="44"/>
      <c r="C22" s="198"/>
      <c r="D22" s="198"/>
      <c r="E22" s="198"/>
      <c r="F22" s="198"/>
    </row>
    <row r="23" spans="2:6" ht="15" thickBot="1" x14ac:dyDescent="0.25">
      <c r="B23" s="81" t="s">
        <v>532</v>
      </c>
      <c r="C23" s="120">
        <f>SUM(C21)</f>
        <v>53789</v>
      </c>
      <c r="D23" s="120">
        <f>SUM(D21)</f>
        <v>59917</v>
      </c>
      <c r="E23" s="120">
        <f>SUM(E21)</f>
        <v>200802</v>
      </c>
      <c r="F23" s="120">
        <f>SUM(F21)</f>
        <v>168031</v>
      </c>
    </row>
    <row r="24" spans="2:6" x14ac:dyDescent="0.2">
      <c r="C24" s="116"/>
      <c r="D24" s="116"/>
      <c r="E24" s="116"/>
      <c r="F24" s="116"/>
    </row>
    <row r="25" spans="2:6" x14ac:dyDescent="0.2">
      <c r="B25" s="44" t="s">
        <v>533</v>
      </c>
      <c r="C25" s="198">
        <v>2316</v>
      </c>
      <c r="D25" s="198">
        <v>1871</v>
      </c>
      <c r="E25" s="198">
        <v>2203</v>
      </c>
      <c r="F25" s="198">
        <v>2223</v>
      </c>
    </row>
    <row r="26" spans="2:6" x14ac:dyDescent="0.2">
      <c r="B26" s="44" t="s">
        <v>534</v>
      </c>
      <c r="C26" s="198">
        <v>7585</v>
      </c>
      <c r="D26" s="198">
        <v>9832</v>
      </c>
      <c r="E26" s="198">
        <v>19051</v>
      </c>
      <c r="F26" s="198">
        <v>10323</v>
      </c>
    </row>
    <row r="27" spans="2:6" ht="15" thickBot="1" x14ac:dyDescent="0.25">
      <c r="B27" s="44"/>
      <c r="C27" s="198"/>
      <c r="D27" s="198"/>
      <c r="E27" s="198"/>
      <c r="F27" s="198"/>
    </row>
    <row r="28" spans="2:6" ht="15" thickBot="1" x14ac:dyDescent="0.25">
      <c r="B28" s="81" t="s">
        <v>728</v>
      </c>
      <c r="C28" s="120">
        <f>SUM(C25:C26)</f>
        <v>9901</v>
      </c>
      <c r="D28" s="120">
        <f>SUM(D25:D26)</f>
        <v>11703</v>
      </c>
      <c r="E28" s="120">
        <f>SUM(E25:E26)</f>
        <v>21254</v>
      </c>
      <c r="F28" s="120">
        <f>SUM(F25:F26)</f>
        <v>12546</v>
      </c>
    </row>
    <row r="29" spans="2:6" ht="15" thickBot="1" x14ac:dyDescent="0.25">
      <c r="B29" s="458"/>
      <c r="C29" s="470"/>
      <c r="D29" s="470"/>
      <c r="E29" s="470"/>
      <c r="F29" s="470"/>
    </row>
    <row r="30" spans="2:6" ht="15.75" thickBot="1" x14ac:dyDescent="0.3">
      <c r="B30" s="81" t="s">
        <v>793</v>
      </c>
      <c r="C30" s="120">
        <f>C19+C23+C28</f>
        <v>6176896</v>
      </c>
      <c r="D30" s="120">
        <f>D19+D23+D28</f>
        <v>8098691</v>
      </c>
      <c r="E30" s="120">
        <f>E19+E23+E28</f>
        <v>8158393</v>
      </c>
      <c r="F30" s="120">
        <f>F19+F23+F28</f>
        <v>7386569</v>
      </c>
    </row>
    <row r="31" spans="2:6" x14ac:dyDescent="0.2">
      <c r="B31" s="191"/>
      <c r="C31" s="191"/>
      <c r="D31" s="191"/>
      <c r="E31" s="191"/>
      <c r="F31" s="191"/>
    </row>
    <row r="32" spans="2:6" x14ac:dyDescent="0.2">
      <c r="B32" s="463" t="s">
        <v>792</v>
      </c>
      <c r="C32" s="44"/>
      <c r="D32" s="44"/>
      <c r="E32" s="44"/>
      <c r="F32" s="44"/>
    </row>
    <row r="33" spans="2:11" ht="15" thickBot="1" x14ac:dyDescent="0.25">
      <c r="B33" s="458"/>
      <c r="C33" s="44"/>
      <c r="D33" s="44"/>
      <c r="E33" s="44"/>
      <c r="F33" s="44"/>
    </row>
    <row r="34" spans="2:11" x14ac:dyDescent="0.2">
      <c r="B34" s="203" t="s">
        <v>538</v>
      </c>
      <c r="C34" s="207">
        <v>352.3</v>
      </c>
      <c r="D34" s="207">
        <v>351.4</v>
      </c>
      <c r="E34" s="207">
        <v>361.3</v>
      </c>
      <c r="F34" s="207">
        <v>355.4</v>
      </c>
    </row>
    <row r="35" spans="2:11" x14ac:dyDescent="0.2">
      <c r="B35" s="45" t="s">
        <v>899</v>
      </c>
      <c r="C35" s="154">
        <v>273.10000000000002</v>
      </c>
      <c r="D35" s="154">
        <v>296.7</v>
      </c>
      <c r="E35" s="154">
        <v>314</v>
      </c>
      <c r="F35" s="154">
        <v>293.60000000000002</v>
      </c>
    </row>
    <row r="36" spans="2:11" ht="15" thickBot="1" x14ac:dyDescent="0.25">
      <c r="B36" s="204" t="s">
        <v>900</v>
      </c>
      <c r="C36" s="209">
        <v>319</v>
      </c>
      <c r="D36" s="209">
        <v>333.2</v>
      </c>
      <c r="E36" s="209">
        <v>364.6</v>
      </c>
      <c r="F36" s="209">
        <v>345.4</v>
      </c>
    </row>
    <row r="37" spans="2:11" x14ac:dyDescent="0.2">
      <c r="B37" s="44"/>
      <c r="C37" s="198"/>
      <c r="D37" s="198"/>
      <c r="E37" s="198"/>
      <c r="F37" s="198"/>
    </row>
    <row r="38" spans="2:11" x14ac:dyDescent="0.2">
      <c r="B38" s="463" t="s">
        <v>795</v>
      </c>
      <c r="C38" s="470"/>
      <c r="D38" s="470"/>
      <c r="E38" s="470"/>
      <c r="F38" s="470"/>
    </row>
    <row r="39" spans="2:11" ht="15" thickBot="1" x14ac:dyDescent="0.25">
      <c r="B39" s="458"/>
      <c r="C39" s="470"/>
      <c r="D39" s="470"/>
      <c r="E39" s="470"/>
      <c r="F39" s="470"/>
    </row>
    <row r="40" spans="2:11" x14ac:dyDescent="0.2">
      <c r="B40" s="203" t="s">
        <v>539</v>
      </c>
      <c r="C40" s="207">
        <v>2637</v>
      </c>
      <c r="D40" s="207">
        <v>4618</v>
      </c>
      <c r="E40" s="207">
        <v>4786</v>
      </c>
      <c r="F40" s="207">
        <v>4069</v>
      </c>
    </row>
    <row r="41" spans="2:11" x14ac:dyDescent="0.2">
      <c r="B41" s="45" t="s">
        <v>540</v>
      </c>
      <c r="C41" s="154">
        <v>177</v>
      </c>
      <c r="D41" s="154">
        <v>837</v>
      </c>
      <c r="E41" s="154">
        <v>1036</v>
      </c>
      <c r="F41" s="154">
        <v>924</v>
      </c>
    </row>
    <row r="42" spans="2:11" x14ac:dyDescent="0.2">
      <c r="B42" s="45" t="s">
        <v>541</v>
      </c>
      <c r="C42" s="154">
        <v>7</v>
      </c>
      <c r="D42" s="154">
        <v>106</v>
      </c>
      <c r="E42" s="154">
        <v>156</v>
      </c>
      <c r="F42" s="154">
        <v>142</v>
      </c>
    </row>
    <row r="43" spans="2:11" ht="15" thickBot="1" x14ac:dyDescent="0.25">
      <c r="B43" s="204" t="s">
        <v>154</v>
      </c>
      <c r="C43" s="209">
        <v>1229</v>
      </c>
      <c r="D43" s="209">
        <v>1029</v>
      </c>
      <c r="E43" s="209">
        <v>1328</v>
      </c>
      <c r="F43" s="209">
        <v>1260</v>
      </c>
    </row>
    <row r="44" spans="2:11" x14ac:dyDescent="0.2">
      <c r="B44" s="44"/>
      <c r="C44" s="44"/>
      <c r="D44" s="44"/>
      <c r="E44" s="44"/>
      <c r="F44" s="44"/>
    </row>
    <row r="45" spans="2:11" x14ac:dyDescent="0.2">
      <c r="C45" s="44"/>
      <c r="D45" s="44"/>
      <c r="E45" s="44"/>
      <c r="F45" s="44"/>
    </row>
    <row r="46" spans="2:11" x14ac:dyDescent="0.2">
      <c r="C46" s="44"/>
      <c r="D46" s="44"/>
      <c r="E46" s="44"/>
      <c r="F46" s="44"/>
    </row>
    <row r="47" spans="2:11" ht="36" customHeight="1" x14ac:dyDescent="0.2">
      <c r="B47" s="609" t="s">
        <v>535</v>
      </c>
      <c r="C47" s="609"/>
      <c r="D47" s="609"/>
      <c r="E47" s="609"/>
      <c r="F47" s="609"/>
      <c r="G47" s="609"/>
      <c r="H47" s="609"/>
      <c r="I47" s="609"/>
      <c r="J47" s="609"/>
      <c r="K47" s="609"/>
    </row>
    <row r="48" spans="2:11" ht="24.75" customHeight="1" x14ac:dyDescent="0.2">
      <c r="B48" s="610" t="s">
        <v>536</v>
      </c>
      <c r="C48" s="610"/>
      <c r="D48" s="610"/>
      <c r="E48" s="610"/>
      <c r="F48" s="610"/>
      <c r="G48" s="610"/>
      <c r="H48" s="610"/>
      <c r="I48" s="610"/>
      <c r="J48" s="610"/>
      <c r="K48" s="610"/>
    </row>
    <row r="49" spans="2:6" x14ac:dyDescent="0.2">
      <c r="B49" s="90" t="s">
        <v>537</v>
      </c>
      <c r="C49" s="44"/>
      <c r="D49" s="44"/>
      <c r="E49" s="44"/>
      <c r="F49" s="44"/>
    </row>
    <row r="50" spans="2:6" x14ac:dyDescent="0.2">
      <c r="B50" s="90" t="s">
        <v>902</v>
      </c>
    </row>
    <row r="51" spans="2:6" x14ac:dyDescent="0.2">
      <c r="B51" s="90" t="s">
        <v>901</v>
      </c>
    </row>
    <row r="53" spans="2:6" ht="15" x14ac:dyDescent="0.25">
      <c r="B53"/>
      <c r="C53"/>
      <c r="D53"/>
      <c r="E53"/>
      <c r="F53"/>
    </row>
    <row r="54" spans="2:6" ht="15" x14ac:dyDescent="0.25">
      <c r="B54"/>
      <c r="C54"/>
      <c r="D54"/>
      <c r="E54"/>
      <c r="F54"/>
    </row>
    <row r="55" spans="2:6" ht="15" x14ac:dyDescent="0.25">
      <c r="B55"/>
      <c r="C55"/>
      <c r="D55"/>
      <c r="E55"/>
      <c r="F55"/>
    </row>
    <row r="56" spans="2:6" ht="15" x14ac:dyDescent="0.25">
      <c r="B56"/>
      <c r="C56"/>
      <c r="D56"/>
      <c r="E56"/>
      <c r="F56"/>
    </row>
    <row r="57" spans="2:6" ht="15" x14ac:dyDescent="0.25">
      <c r="B57"/>
      <c r="C57"/>
      <c r="D57"/>
      <c r="E57"/>
      <c r="F57"/>
    </row>
    <row r="58" spans="2:6" ht="15" x14ac:dyDescent="0.25">
      <c r="B58"/>
      <c r="C58"/>
      <c r="D58"/>
      <c r="E58"/>
      <c r="F58"/>
    </row>
    <row r="59" spans="2:6" ht="15" x14ac:dyDescent="0.25">
      <c r="B59"/>
      <c r="C59"/>
      <c r="D59"/>
      <c r="E59"/>
      <c r="F59"/>
    </row>
    <row r="60" spans="2:6" ht="15" x14ac:dyDescent="0.25">
      <c r="B60"/>
      <c r="C60"/>
      <c r="D60"/>
      <c r="E60"/>
      <c r="F60"/>
    </row>
    <row r="61" spans="2:6" ht="15" x14ac:dyDescent="0.25">
      <c r="B61"/>
      <c r="C61"/>
      <c r="D61"/>
      <c r="E61"/>
      <c r="F61"/>
    </row>
    <row r="62" spans="2:6" ht="15" x14ac:dyDescent="0.25">
      <c r="B62"/>
      <c r="C62"/>
      <c r="D62"/>
      <c r="E62"/>
      <c r="F62"/>
    </row>
    <row r="63" spans="2:6" ht="15" x14ac:dyDescent="0.25">
      <c r="B63"/>
      <c r="C63"/>
      <c r="D63"/>
      <c r="E63"/>
      <c r="F63"/>
    </row>
    <row r="64" spans="2:6" ht="15" x14ac:dyDescent="0.25">
      <c r="B64"/>
      <c r="C64"/>
      <c r="D64"/>
      <c r="E64"/>
      <c r="F64"/>
    </row>
    <row r="65" spans="2:6" ht="15" x14ac:dyDescent="0.25">
      <c r="B65"/>
      <c r="C65"/>
      <c r="D65"/>
      <c r="E65"/>
      <c r="F65"/>
    </row>
    <row r="66" spans="2:6" ht="15" x14ac:dyDescent="0.25">
      <c r="B66"/>
      <c r="C66"/>
      <c r="D66"/>
      <c r="E66"/>
      <c r="F66"/>
    </row>
    <row r="67" spans="2:6" ht="15" x14ac:dyDescent="0.25">
      <c r="B67"/>
      <c r="C67"/>
      <c r="D67"/>
      <c r="E67"/>
      <c r="F67"/>
    </row>
    <row r="68" spans="2:6" ht="15" x14ac:dyDescent="0.25">
      <c r="B68"/>
      <c r="C68"/>
      <c r="D68"/>
      <c r="E68"/>
      <c r="F68"/>
    </row>
    <row r="69" spans="2:6" ht="15" x14ac:dyDescent="0.25">
      <c r="B69"/>
      <c r="C69"/>
      <c r="D69"/>
      <c r="E69"/>
      <c r="F69"/>
    </row>
    <row r="70" spans="2:6" ht="15" x14ac:dyDescent="0.25">
      <c r="B70"/>
      <c r="C70"/>
      <c r="D70"/>
      <c r="E70"/>
      <c r="F70"/>
    </row>
    <row r="71" spans="2:6" ht="15" x14ac:dyDescent="0.25">
      <c r="B71"/>
      <c r="C71"/>
      <c r="D71"/>
      <c r="E71"/>
      <c r="F71"/>
    </row>
    <row r="72" spans="2:6" ht="15" x14ac:dyDescent="0.25">
      <c r="B72"/>
      <c r="C72"/>
      <c r="D72"/>
      <c r="E72"/>
      <c r="F72"/>
    </row>
    <row r="73" spans="2:6" ht="15" x14ac:dyDescent="0.25">
      <c r="B73"/>
      <c r="C73"/>
      <c r="D73"/>
      <c r="E73"/>
      <c r="F73"/>
    </row>
    <row r="74" spans="2:6" ht="15" x14ac:dyDescent="0.25">
      <c r="B74"/>
      <c r="C74"/>
      <c r="D74"/>
      <c r="E74"/>
      <c r="F74"/>
    </row>
    <row r="75" spans="2:6" ht="15" x14ac:dyDescent="0.25">
      <c r="B75"/>
      <c r="C75"/>
      <c r="D75"/>
      <c r="E75"/>
      <c r="F75"/>
    </row>
    <row r="76" spans="2:6" ht="15" x14ac:dyDescent="0.25">
      <c r="B76"/>
      <c r="C76"/>
      <c r="D76"/>
      <c r="E76"/>
      <c r="F76"/>
    </row>
    <row r="77" spans="2:6" ht="15" x14ac:dyDescent="0.25">
      <c r="B77"/>
      <c r="C77"/>
      <c r="D77"/>
      <c r="E77"/>
      <c r="F77"/>
    </row>
    <row r="78" spans="2:6" ht="15" x14ac:dyDescent="0.25">
      <c r="B78"/>
      <c r="C78"/>
      <c r="D78"/>
      <c r="E78"/>
      <c r="F78"/>
    </row>
    <row r="79" spans="2:6" ht="15" x14ac:dyDescent="0.25">
      <c r="B79"/>
      <c r="C79"/>
      <c r="D79"/>
      <c r="E79"/>
      <c r="F79"/>
    </row>
    <row r="80" spans="2:6" ht="15" x14ac:dyDescent="0.25">
      <c r="B80"/>
      <c r="C80"/>
      <c r="D80"/>
      <c r="E80"/>
      <c r="F80"/>
    </row>
    <row r="81" spans="2:6" ht="15" x14ac:dyDescent="0.25">
      <c r="B81"/>
      <c r="C81"/>
      <c r="D81"/>
      <c r="E81"/>
      <c r="F81"/>
    </row>
    <row r="82" spans="2:6" ht="15" x14ac:dyDescent="0.25">
      <c r="B82"/>
      <c r="C82"/>
      <c r="D82"/>
      <c r="E82"/>
      <c r="F82"/>
    </row>
    <row r="83" spans="2:6" ht="15" x14ac:dyDescent="0.25">
      <c r="B83"/>
      <c r="C83"/>
      <c r="D83"/>
      <c r="E83"/>
      <c r="F83"/>
    </row>
    <row r="84" spans="2:6" ht="15" x14ac:dyDescent="0.25">
      <c r="B84"/>
      <c r="C84"/>
      <c r="D84"/>
      <c r="E84"/>
      <c r="F84"/>
    </row>
    <row r="85" spans="2:6" ht="15" x14ac:dyDescent="0.25">
      <c r="B85"/>
      <c r="C85"/>
      <c r="D85"/>
      <c r="E85"/>
      <c r="F85"/>
    </row>
    <row r="86" spans="2:6" ht="15" x14ac:dyDescent="0.25">
      <c r="B86"/>
      <c r="C86"/>
      <c r="D86"/>
      <c r="E86"/>
      <c r="F86"/>
    </row>
    <row r="87" spans="2:6" x14ac:dyDescent="0.2">
      <c r="C87" s="116"/>
      <c r="D87" s="116"/>
      <c r="E87" s="116"/>
      <c r="F87" s="116"/>
    </row>
    <row r="88" spans="2:6" x14ac:dyDescent="0.2">
      <c r="C88" s="116"/>
      <c r="D88" s="116"/>
      <c r="E88" s="116"/>
      <c r="F88" s="116"/>
    </row>
    <row r="89" spans="2:6" x14ac:dyDescent="0.2">
      <c r="C89" s="116"/>
      <c r="D89" s="116"/>
      <c r="E89" s="116"/>
      <c r="F89" s="116"/>
    </row>
  </sheetData>
  <mergeCells count="2">
    <mergeCell ref="B47:K47"/>
    <mergeCell ref="B48:K48"/>
  </mergeCells>
  <pageMargins left="0.7" right="0.7" top="0.75" bottom="0.75" header="0.3" footer="0.3"/>
  <pageSetup paperSize="9" scale="48"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D1B89-93E6-48A6-91DA-9F8ACCEF1A39}">
  <sheetPr>
    <tabColor theme="7"/>
  </sheetPr>
  <dimension ref="B8:K75"/>
  <sheetViews>
    <sheetView showGridLines="0" zoomScaleNormal="100" workbookViewId="0">
      <selection activeCell="J65" sqref="J65"/>
    </sheetView>
  </sheetViews>
  <sheetFormatPr defaultRowHeight="15" x14ac:dyDescent="0.25"/>
  <cols>
    <col min="2" max="2" width="31.28515625" customWidth="1"/>
  </cols>
  <sheetData>
    <row r="8" spans="2:6" ht="16.5" thickBot="1" x14ac:dyDescent="0.3">
      <c r="B8" s="461" t="s">
        <v>938</v>
      </c>
      <c r="C8" s="461">
        <v>2015</v>
      </c>
      <c r="D8" s="461">
        <v>2016</v>
      </c>
      <c r="E8" s="461">
        <v>2017</v>
      </c>
      <c r="F8" s="461">
        <v>2018</v>
      </c>
    </row>
    <row r="9" spans="2:6" x14ac:dyDescent="0.25">
      <c r="B9" s="459"/>
      <c r="C9" s="84"/>
      <c r="D9" s="84"/>
      <c r="E9" s="84"/>
      <c r="F9" s="84"/>
    </row>
    <row r="10" spans="2:6" x14ac:dyDescent="0.25">
      <c r="B10" s="460" t="s">
        <v>937</v>
      </c>
      <c r="C10" s="84"/>
      <c r="D10" s="84"/>
      <c r="E10" s="84"/>
      <c r="F10" s="84"/>
    </row>
    <row r="11" spans="2:6" x14ac:dyDescent="0.25">
      <c r="B11" s="105"/>
      <c r="C11" s="105"/>
      <c r="D11" s="105"/>
      <c r="E11" s="105"/>
      <c r="F11" s="105"/>
    </row>
    <row r="12" spans="2:6" x14ac:dyDescent="0.25">
      <c r="B12" s="105" t="s">
        <v>493</v>
      </c>
      <c r="C12" s="116">
        <v>1513</v>
      </c>
      <c r="D12" s="116">
        <v>1218</v>
      </c>
      <c r="E12" s="116">
        <v>1180</v>
      </c>
      <c r="F12" s="116">
        <v>1219</v>
      </c>
    </row>
    <row r="13" spans="2:6" x14ac:dyDescent="0.25">
      <c r="B13" s="105" t="s">
        <v>542</v>
      </c>
      <c r="C13" s="116">
        <v>14502</v>
      </c>
      <c r="D13" s="116">
        <v>9325</v>
      </c>
      <c r="E13" s="116">
        <v>8855</v>
      </c>
      <c r="F13" s="116">
        <v>11560</v>
      </c>
    </row>
    <row r="14" spans="2:6" x14ac:dyDescent="0.25">
      <c r="B14" s="105" t="s">
        <v>543</v>
      </c>
      <c r="C14" s="116">
        <v>1094</v>
      </c>
      <c r="D14" s="116">
        <v>1039</v>
      </c>
      <c r="E14" s="116">
        <v>893</v>
      </c>
      <c r="F14" s="116">
        <v>1005</v>
      </c>
    </row>
    <row r="15" spans="2:6" ht="15.75" thickBot="1" x14ac:dyDescent="0.3">
      <c r="B15" s="105"/>
      <c r="C15" s="116"/>
      <c r="D15" s="116"/>
      <c r="E15" s="116"/>
      <c r="F15" s="116"/>
    </row>
    <row r="16" spans="2:6" ht="15.75" thickBot="1" x14ac:dyDescent="0.3">
      <c r="B16" s="81" t="s">
        <v>548</v>
      </c>
      <c r="C16" s="120">
        <f>SUM(C12:C14)</f>
        <v>17109</v>
      </c>
      <c r="D16" s="120">
        <f>SUM(D12:D14)</f>
        <v>11582</v>
      </c>
      <c r="E16" s="120">
        <f>SUM(E12:E14)</f>
        <v>10928</v>
      </c>
      <c r="F16" s="120">
        <f>SUM(F12:F14)</f>
        <v>13784</v>
      </c>
    </row>
    <row r="17" spans="2:6" x14ac:dyDescent="0.25">
      <c r="B17" s="105"/>
      <c r="C17" s="116"/>
      <c r="D17" s="116"/>
      <c r="E17" s="116"/>
      <c r="F17" s="116"/>
    </row>
    <row r="18" spans="2:6" x14ac:dyDescent="0.25">
      <c r="B18" s="105" t="s">
        <v>544</v>
      </c>
      <c r="C18" s="116">
        <v>5959</v>
      </c>
      <c r="D18" s="116">
        <v>6466</v>
      </c>
      <c r="E18" s="116">
        <v>6846</v>
      </c>
      <c r="F18" s="116">
        <v>7294</v>
      </c>
    </row>
    <row r="19" spans="2:6" x14ac:dyDescent="0.25">
      <c r="B19" s="105" t="s">
        <v>547</v>
      </c>
      <c r="C19" s="116">
        <v>419</v>
      </c>
      <c r="D19" s="116">
        <v>354</v>
      </c>
      <c r="E19" s="116">
        <v>349</v>
      </c>
      <c r="F19" s="116">
        <v>535</v>
      </c>
    </row>
    <row r="20" spans="2:6" x14ac:dyDescent="0.25">
      <c r="B20" s="105" t="s">
        <v>545</v>
      </c>
      <c r="C20" s="116">
        <f>54+21</f>
        <v>75</v>
      </c>
      <c r="D20" s="116">
        <v>65</v>
      </c>
      <c r="E20" s="116">
        <v>65</v>
      </c>
      <c r="F20" s="116">
        <v>69</v>
      </c>
    </row>
    <row r="21" spans="2:6" x14ac:dyDescent="0.25">
      <c r="B21" s="105" t="s">
        <v>546</v>
      </c>
      <c r="C21" s="116">
        <v>0</v>
      </c>
      <c r="D21" s="116">
        <v>0</v>
      </c>
      <c r="E21" s="116">
        <v>0</v>
      </c>
      <c r="F21" s="116">
        <v>10</v>
      </c>
    </row>
    <row r="22" spans="2:6" ht="15.75" thickBot="1" x14ac:dyDescent="0.3">
      <c r="B22" s="105"/>
      <c r="C22" s="116"/>
      <c r="D22" s="116"/>
      <c r="E22" s="116"/>
      <c r="F22" s="116"/>
    </row>
    <row r="23" spans="2:6" ht="15.75" thickBot="1" x14ac:dyDescent="0.3">
      <c r="B23" s="81" t="s">
        <v>549</v>
      </c>
      <c r="C23" s="120">
        <f>C18+C20+C21</f>
        <v>6034</v>
      </c>
      <c r="D23" s="120">
        <f>D18+D20+D21</f>
        <v>6531</v>
      </c>
      <c r="E23" s="120">
        <f>E18+E20+E21</f>
        <v>6911</v>
      </c>
      <c r="F23" s="120">
        <f>F18+F20+F21</f>
        <v>7373</v>
      </c>
    </row>
    <row r="24" spans="2:6" x14ac:dyDescent="0.25">
      <c r="B24" s="105"/>
      <c r="C24" s="105"/>
      <c r="D24" s="105"/>
      <c r="E24" s="105"/>
      <c r="F24" s="105"/>
    </row>
    <row r="25" spans="2:6" x14ac:dyDescent="0.25">
      <c r="B25" s="105"/>
      <c r="C25" s="105"/>
      <c r="D25" s="105"/>
      <c r="E25" s="105"/>
      <c r="F25" s="105"/>
    </row>
    <row r="26" spans="2:6" x14ac:dyDescent="0.25">
      <c r="B26" s="460" t="s">
        <v>939</v>
      </c>
      <c r="C26" s="105"/>
      <c r="D26" s="105"/>
      <c r="E26" s="105"/>
      <c r="F26" s="105"/>
    </row>
    <row r="27" spans="2:6" x14ac:dyDescent="0.25">
      <c r="B27" s="105"/>
      <c r="C27" s="105"/>
      <c r="D27" s="105"/>
      <c r="E27" s="105"/>
      <c r="F27" s="105"/>
    </row>
    <row r="28" spans="2:6" x14ac:dyDescent="0.25">
      <c r="B28" s="105" t="s">
        <v>493</v>
      </c>
      <c r="C28" s="116">
        <v>489967</v>
      </c>
      <c r="D28" s="116">
        <v>446919</v>
      </c>
      <c r="E28" s="116">
        <v>433218</v>
      </c>
      <c r="F28" s="116">
        <v>484702</v>
      </c>
    </row>
    <row r="29" spans="2:6" x14ac:dyDescent="0.25">
      <c r="B29" s="105" t="s">
        <v>542</v>
      </c>
      <c r="C29" s="116">
        <v>7516</v>
      </c>
      <c r="D29" s="116">
        <v>4098</v>
      </c>
      <c r="E29" s="116">
        <v>67322</v>
      </c>
      <c r="F29" s="116">
        <v>93094</v>
      </c>
    </row>
    <row r="30" spans="2:6" x14ac:dyDescent="0.25">
      <c r="B30" s="105" t="s">
        <v>543</v>
      </c>
      <c r="C30" s="116">
        <v>94510</v>
      </c>
      <c r="D30" s="116">
        <v>86586</v>
      </c>
      <c r="E30" s="116">
        <v>72318</v>
      </c>
      <c r="F30" s="116">
        <v>78425</v>
      </c>
    </row>
    <row r="31" spans="2:6" ht="15.75" thickBot="1" x14ac:dyDescent="0.3">
      <c r="B31" s="105"/>
      <c r="C31" s="116"/>
      <c r="D31" s="116"/>
      <c r="E31" s="116"/>
      <c r="F31" s="116"/>
    </row>
    <row r="32" spans="2:6" ht="15.75" thickBot="1" x14ac:dyDescent="0.3">
      <c r="B32" s="81" t="s">
        <v>550</v>
      </c>
      <c r="C32" s="120">
        <f>SUM(C28:C30)</f>
        <v>591993</v>
      </c>
      <c r="D32" s="120">
        <f>SUM(D28:D30)</f>
        <v>537603</v>
      </c>
      <c r="E32" s="120">
        <f>SUM(E28:E30)</f>
        <v>572858</v>
      </c>
      <c r="F32" s="120">
        <f>SUM(F28:F30)</f>
        <v>656221</v>
      </c>
    </row>
    <row r="33" spans="2:11" x14ac:dyDescent="0.25">
      <c r="B33" s="105"/>
      <c r="C33" s="116"/>
      <c r="D33" s="116"/>
      <c r="E33" s="116"/>
      <c r="F33" s="116"/>
    </row>
    <row r="34" spans="2:11" x14ac:dyDescent="0.25">
      <c r="B34" s="105" t="s">
        <v>544</v>
      </c>
      <c r="C34" s="116">
        <v>385235</v>
      </c>
      <c r="D34" s="116">
        <v>367269</v>
      </c>
      <c r="E34" s="116">
        <v>350015</v>
      </c>
      <c r="F34" s="116">
        <v>770761</v>
      </c>
    </row>
    <row r="35" spans="2:11" x14ac:dyDescent="0.25">
      <c r="B35" s="105" t="s">
        <v>547</v>
      </c>
      <c r="C35" s="116">
        <v>384564</v>
      </c>
      <c r="D35" s="116">
        <v>366288</v>
      </c>
      <c r="E35" s="116">
        <v>343348</v>
      </c>
      <c r="F35" s="116">
        <v>758104</v>
      </c>
    </row>
    <row r="36" spans="2:11" x14ac:dyDescent="0.25">
      <c r="B36" s="105" t="s">
        <v>545</v>
      </c>
      <c r="C36" s="116">
        <f>132990+3174</f>
        <v>136164</v>
      </c>
      <c r="D36" s="116">
        <v>136243</v>
      </c>
      <c r="E36" s="116">
        <v>136443</v>
      </c>
      <c r="F36" s="116">
        <v>135529</v>
      </c>
    </row>
    <row r="37" spans="2:11" x14ac:dyDescent="0.25">
      <c r="B37" s="105" t="s">
        <v>546</v>
      </c>
      <c r="C37" s="116">
        <v>0</v>
      </c>
      <c r="D37" s="116">
        <v>0</v>
      </c>
      <c r="E37" s="116">
        <v>0</v>
      </c>
      <c r="F37" s="116">
        <v>29916</v>
      </c>
    </row>
    <row r="38" spans="2:11" ht="15.75" thickBot="1" x14ac:dyDescent="0.3">
      <c r="B38" s="105"/>
      <c r="C38" s="116"/>
      <c r="D38" s="116"/>
      <c r="E38" s="116"/>
      <c r="F38" s="116"/>
    </row>
    <row r="39" spans="2:11" ht="15.75" thickBot="1" x14ac:dyDescent="0.3">
      <c r="B39" s="81" t="s">
        <v>551</v>
      </c>
      <c r="C39" s="120">
        <f>C34+C36+C37</f>
        <v>521399</v>
      </c>
      <c r="D39" s="120">
        <f>D34+D36+D37</f>
        <v>503512</v>
      </c>
      <c r="E39" s="120">
        <f>E34+E36+E37</f>
        <v>486458</v>
      </c>
      <c r="F39" s="120">
        <f>F34+F36+F37</f>
        <v>936206</v>
      </c>
    </row>
    <row r="40" spans="2:11" x14ac:dyDescent="0.25">
      <c r="B40" s="105"/>
      <c r="C40" s="105"/>
      <c r="D40" s="105"/>
      <c r="E40" s="105"/>
      <c r="F40" s="105"/>
    </row>
    <row r="41" spans="2:11" ht="24.75" customHeight="1" x14ac:dyDescent="0.25">
      <c r="B41" s="611" t="s">
        <v>940</v>
      </c>
      <c r="C41" s="611"/>
      <c r="D41" s="611"/>
      <c r="E41" s="611"/>
      <c r="F41" s="611"/>
      <c r="G41" s="611"/>
      <c r="H41" s="611"/>
      <c r="I41" s="611"/>
      <c r="J41" s="611"/>
      <c r="K41" s="611"/>
    </row>
    <row r="42" spans="2:11" x14ac:dyDescent="0.25">
      <c r="B42" s="469"/>
      <c r="C42" s="105"/>
      <c r="D42" s="105"/>
      <c r="E42" s="105"/>
      <c r="F42" s="105"/>
    </row>
    <row r="44" spans="2:11" ht="16.5" thickBot="1" x14ac:dyDescent="0.3">
      <c r="B44" s="461" t="s">
        <v>46</v>
      </c>
      <c r="C44" s="461">
        <v>2015</v>
      </c>
      <c r="D44" s="461">
        <v>2016</v>
      </c>
      <c r="E44" s="461">
        <v>2017</v>
      </c>
      <c r="F44" s="461">
        <v>2018</v>
      </c>
    </row>
    <row r="45" spans="2:11" ht="15.75" x14ac:dyDescent="0.25">
      <c r="B45" s="464"/>
      <c r="C45" s="464"/>
      <c r="D45" s="464"/>
      <c r="E45" s="464"/>
      <c r="F45" s="464"/>
    </row>
    <row r="46" spans="2:11" x14ac:dyDescent="0.25">
      <c r="B46" s="463" t="s">
        <v>796</v>
      </c>
      <c r="C46" s="457"/>
      <c r="D46" s="457"/>
      <c r="E46" s="457"/>
      <c r="F46" s="457"/>
    </row>
    <row r="47" spans="2:11" ht="15.75" thickBot="1" x14ac:dyDescent="0.3">
      <c r="B47" s="456"/>
      <c r="C47" s="457"/>
      <c r="D47" s="457"/>
      <c r="E47" s="457"/>
      <c r="F47" s="457"/>
    </row>
    <row r="48" spans="2:11" x14ac:dyDescent="0.25">
      <c r="B48" s="203" t="s">
        <v>552</v>
      </c>
      <c r="C48" s="207">
        <v>2420</v>
      </c>
      <c r="D48" s="207">
        <v>4043</v>
      </c>
      <c r="E48" s="207">
        <v>4179</v>
      </c>
      <c r="F48" s="207">
        <v>4327</v>
      </c>
    </row>
    <row r="49" spans="2:6" ht="15.75" thickBot="1" x14ac:dyDescent="0.3">
      <c r="B49" s="204" t="s">
        <v>553</v>
      </c>
      <c r="C49" s="209">
        <v>646</v>
      </c>
      <c r="D49" s="209">
        <v>906</v>
      </c>
      <c r="E49" s="209">
        <v>965</v>
      </c>
      <c r="F49" s="209">
        <v>1045</v>
      </c>
    </row>
    <row r="50" spans="2:6" x14ac:dyDescent="0.25">
      <c r="B50" s="457"/>
      <c r="C50" s="471"/>
      <c r="D50" s="471"/>
      <c r="E50" s="471"/>
      <c r="F50" s="471"/>
    </row>
    <row r="51" spans="2:6" x14ac:dyDescent="0.25">
      <c r="B51" s="463" t="s">
        <v>558</v>
      </c>
      <c r="C51" s="116"/>
      <c r="D51" s="116"/>
      <c r="E51" s="116"/>
      <c r="F51" s="116"/>
    </row>
    <row r="52" spans="2:6" ht="15.75" thickBot="1" x14ac:dyDescent="0.3">
      <c r="B52" s="456"/>
      <c r="C52" s="472"/>
      <c r="D52" s="472"/>
      <c r="E52" s="472"/>
      <c r="F52" s="472"/>
    </row>
    <row r="53" spans="2:6" x14ac:dyDescent="0.25">
      <c r="B53" s="203" t="s">
        <v>554</v>
      </c>
      <c r="C53" s="207">
        <v>11</v>
      </c>
      <c r="D53" s="207">
        <v>13</v>
      </c>
      <c r="E53" s="207">
        <v>13</v>
      </c>
      <c r="F53" s="207">
        <v>15</v>
      </c>
    </row>
    <row r="54" spans="2:6" x14ac:dyDescent="0.25">
      <c r="B54" s="45" t="s">
        <v>555</v>
      </c>
      <c r="C54" s="154">
        <v>23</v>
      </c>
      <c r="D54" s="154">
        <v>24</v>
      </c>
      <c r="E54" s="154">
        <v>25</v>
      </c>
      <c r="F54" s="154">
        <v>24</v>
      </c>
    </row>
    <row r="55" spans="2:6" x14ac:dyDescent="0.25">
      <c r="B55" s="45" t="s">
        <v>556</v>
      </c>
      <c r="C55" s="154">
        <v>27</v>
      </c>
      <c r="D55" s="154">
        <v>29</v>
      </c>
      <c r="E55" s="154">
        <v>29</v>
      </c>
      <c r="F55" s="154">
        <v>31</v>
      </c>
    </row>
    <row r="56" spans="2:6" ht="15.75" thickBot="1" x14ac:dyDescent="0.3">
      <c r="B56" s="204" t="s">
        <v>557</v>
      </c>
      <c r="C56" s="209">
        <v>4</v>
      </c>
      <c r="D56" s="209">
        <v>2</v>
      </c>
      <c r="E56" s="209">
        <v>2</v>
      </c>
      <c r="F56" s="209">
        <v>2</v>
      </c>
    </row>
    <row r="57" spans="2:6" ht="15.75" thickBot="1" x14ac:dyDescent="0.3">
      <c r="B57" s="105"/>
      <c r="C57" s="116"/>
      <c r="D57" s="116"/>
      <c r="E57" s="116"/>
      <c r="F57" s="116"/>
    </row>
    <row r="58" spans="2:6" ht="15.75" thickBot="1" x14ac:dyDescent="0.3">
      <c r="B58" s="81" t="s">
        <v>797</v>
      </c>
      <c r="C58" s="120">
        <v>21</v>
      </c>
      <c r="D58" s="120">
        <v>18</v>
      </c>
      <c r="E58" s="120">
        <v>19</v>
      </c>
      <c r="F58" s="120">
        <v>19</v>
      </c>
    </row>
    <row r="59" spans="2:6" x14ac:dyDescent="0.25">
      <c r="B59" s="105"/>
      <c r="C59" s="105"/>
      <c r="D59" s="105"/>
      <c r="E59" s="105"/>
      <c r="F59" s="105"/>
    </row>
    <row r="60" spans="2:6" x14ac:dyDescent="0.25">
      <c r="B60" s="105"/>
      <c r="C60" s="105"/>
      <c r="D60" s="105"/>
      <c r="E60" s="105"/>
      <c r="F60" s="105"/>
    </row>
    <row r="61" spans="2:6" ht="19.5" thickBot="1" x14ac:dyDescent="0.3">
      <c r="B61" s="461" t="s">
        <v>941</v>
      </c>
      <c r="C61" s="461">
        <v>2015</v>
      </c>
      <c r="D61" s="461">
        <v>2016</v>
      </c>
      <c r="E61" s="461">
        <v>2017</v>
      </c>
      <c r="F61" s="461">
        <v>2018</v>
      </c>
    </row>
    <row r="62" spans="2:6" ht="15.75" thickBot="1" x14ac:dyDescent="0.3">
      <c r="B62" s="105"/>
      <c r="C62" s="105"/>
      <c r="D62" s="105"/>
      <c r="E62" s="105"/>
      <c r="F62" s="105"/>
    </row>
    <row r="63" spans="2:6" x14ac:dyDescent="0.25">
      <c r="B63" s="144" t="s">
        <v>798</v>
      </c>
      <c r="C63" s="148">
        <v>10</v>
      </c>
      <c r="D63" s="148">
        <v>14</v>
      </c>
      <c r="E63" s="148">
        <v>7</v>
      </c>
      <c r="F63" s="148">
        <v>11</v>
      </c>
    </row>
    <row r="64" spans="2:6" x14ac:dyDescent="0.25">
      <c r="B64" s="80" t="s">
        <v>799</v>
      </c>
      <c r="C64" s="146">
        <v>305</v>
      </c>
      <c r="D64" s="146">
        <v>1046</v>
      </c>
      <c r="E64" s="146">
        <v>374</v>
      </c>
      <c r="F64" s="146">
        <v>378</v>
      </c>
    </row>
    <row r="65" spans="2:11" x14ac:dyDescent="0.25">
      <c r="B65" s="80" t="s">
        <v>800</v>
      </c>
      <c r="C65" s="146">
        <v>0</v>
      </c>
      <c r="D65" s="146">
        <v>0</v>
      </c>
      <c r="E65" s="146">
        <v>0</v>
      </c>
      <c r="F65" s="146">
        <v>0</v>
      </c>
    </row>
    <row r="66" spans="2:11" ht="15.75" thickBot="1" x14ac:dyDescent="0.3">
      <c r="B66" s="170" t="s">
        <v>801</v>
      </c>
      <c r="C66" s="174">
        <v>0</v>
      </c>
      <c r="D66" s="174">
        <v>0</v>
      </c>
      <c r="E66" s="174">
        <v>3</v>
      </c>
      <c r="F66" s="174">
        <v>0</v>
      </c>
    </row>
    <row r="67" spans="2:11" x14ac:dyDescent="0.25">
      <c r="B67" s="105"/>
      <c r="C67" s="116"/>
      <c r="D67" s="116"/>
      <c r="E67" s="116"/>
      <c r="F67" s="116"/>
    </row>
    <row r="68" spans="2:11" x14ac:dyDescent="0.25">
      <c r="B68" s="141" t="s">
        <v>802</v>
      </c>
      <c r="C68" s="474"/>
      <c r="D68" s="474"/>
      <c r="E68" s="474"/>
      <c r="F68" s="474"/>
    </row>
    <row r="69" spans="2:11" ht="15.75" thickBot="1" x14ac:dyDescent="0.3">
      <c r="B69" s="80"/>
      <c r="C69" s="91"/>
      <c r="D69" s="91"/>
      <c r="E69" s="91"/>
      <c r="F69" s="91"/>
    </row>
    <row r="70" spans="2:11" x14ac:dyDescent="0.25">
      <c r="B70" s="144" t="s">
        <v>803</v>
      </c>
      <c r="C70" s="473">
        <v>0</v>
      </c>
      <c r="D70" s="473">
        <v>1.33</v>
      </c>
      <c r="E70" s="473">
        <v>0.32</v>
      </c>
      <c r="F70" s="473">
        <v>0.65</v>
      </c>
    </row>
    <row r="71" spans="2:11" x14ac:dyDescent="0.25">
      <c r="B71" s="80" t="s">
        <v>804</v>
      </c>
      <c r="C71" s="91">
        <v>1.91</v>
      </c>
      <c r="D71" s="91">
        <v>1.62</v>
      </c>
      <c r="E71" s="91">
        <v>0.77</v>
      </c>
      <c r="F71" s="91">
        <v>1.23</v>
      </c>
    </row>
    <row r="72" spans="2:11" ht="15.75" thickBot="1" x14ac:dyDescent="0.3">
      <c r="B72" s="170" t="s">
        <v>805</v>
      </c>
      <c r="C72" s="475">
        <v>2.1</v>
      </c>
      <c r="D72" s="475">
        <v>1.96</v>
      </c>
      <c r="E72" s="475">
        <v>1</v>
      </c>
      <c r="F72" s="475">
        <v>1.5</v>
      </c>
    </row>
    <row r="73" spans="2:11" x14ac:dyDescent="0.25">
      <c r="B73" s="105"/>
      <c r="C73" s="116"/>
      <c r="D73" s="116"/>
      <c r="E73" s="116"/>
      <c r="F73" s="116"/>
    </row>
    <row r="74" spans="2:11" x14ac:dyDescent="0.25">
      <c r="B74" s="90" t="s">
        <v>942</v>
      </c>
      <c r="C74" s="116"/>
      <c r="D74" s="116"/>
      <c r="E74" s="116"/>
      <c r="F74" s="116"/>
    </row>
    <row r="75" spans="2:11" x14ac:dyDescent="0.25">
      <c r="B75" s="612" t="s">
        <v>943</v>
      </c>
      <c r="C75" s="612"/>
      <c r="D75" s="612"/>
      <c r="E75" s="612"/>
      <c r="F75" s="612"/>
      <c r="G75" s="612"/>
      <c r="H75" s="612"/>
      <c r="I75" s="612"/>
      <c r="J75" s="612"/>
      <c r="K75" s="612"/>
    </row>
  </sheetData>
  <mergeCells count="2">
    <mergeCell ref="B41:K41"/>
    <mergeCell ref="B75:K75"/>
  </mergeCells>
  <pageMargins left="0.7" right="0.7" top="0.75" bottom="0.75" header="0.3" footer="0.3"/>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3B766-FC4F-4036-B24B-0D6FD612E126}">
  <sheetPr codeName="Foglio13">
    <tabColor theme="5" tint="0.59999389629810485"/>
  </sheetPr>
  <dimension ref="B1:BL176"/>
  <sheetViews>
    <sheetView showGridLines="0" workbookViewId="0">
      <selection activeCell="M46" sqref="M46"/>
    </sheetView>
  </sheetViews>
  <sheetFormatPr defaultColWidth="9.140625" defaultRowHeight="14.25" x14ac:dyDescent="0.2"/>
  <cols>
    <col min="1" max="1" width="4.42578125" style="2" customWidth="1"/>
    <col min="2" max="2" width="7.5703125" style="2" customWidth="1"/>
    <col min="3" max="3" width="23.5703125" style="2" customWidth="1"/>
    <col min="4" max="4" width="19" style="2" bestFit="1" customWidth="1"/>
    <col min="5" max="5" width="19.5703125" style="2" customWidth="1"/>
    <col min="6" max="6" width="13.28515625" style="2" customWidth="1"/>
    <col min="7" max="7" width="16" style="2" customWidth="1"/>
    <col min="8" max="8" width="12" style="2" bestFit="1" customWidth="1"/>
    <col min="9" max="10" width="9.140625" style="2"/>
    <col min="11" max="11" width="10.85546875" style="2" customWidth="1"/>
    <col min="12" max="12" width="11" style="2" customWidth="1"/>
    <col min="13" max="13" width="21" style="2" bestFit="1" customWidth="1"/>
    <col min="14" max="14" width="23.85546875" style="2" bestFit="1" customWidth="1"/>
    <col min="15" max="15" width="13.7109375" style="2" bestFit="1" customWidth="1"/>
    <col min="16" max="16" width="7.85546875" style="2" bestFit="1" customWidth="1"/>
    <col min="17" max="17" width="10.140625" style="2" bestFit="1" customWidth="1"/>
    <col min="18" max="18" width="9.5703125" style="2" bestFit="1" customWidth="1"/>
    <col min="19" max="19" width="7.85546875" style="2" bestFit="1" customWidth="1"/>
    <col min="20" max="20" width="9.28515625" style="2" bestFit="1" customWidth="1"/>
    <col min="21" max="22" width="21" style="2" bestFit="1" customWidth="1"/>
    <col min="23" max="23" width="13.7109375" style="2" bestFit="1" customWidth="1"/>
    <col min="24" max="24" width="12.42578125" style="2" bestFit="1" customWidth="1"/>
    <col min="25" max="25" width="7" style="2" bestFit="1" customWidth="1"/>
    <col min="26" max="26" width="9.5703125" style="2" bestFit="1" customWidth="1"/>
    <col min="27" max="27" width="20.7109375" style="2" bestFit="1" customWidth="1"/>
    <col min="28" max="28" width="9" style="2" bestFit="1" customWidth="1"/>
    <col min="29" max="29" width="14" style="2" bestFit="1" customWidth="1"/>
    <col min="30" max="30" width="10.140625" style="2" bestFit="1" customWidth="1"/>
    <col min="31" max="31" width="21" style="2" bestFit="1" customWidth="1"/>
    <col min="32" max="32" width="10.28515625" style="2" bestFit="1" customWidth="1"/>
    <col min="33" max="33" width="9.7109375" style="2" bestFit="1" customWidth="1"/>
    <col min="34" max="34" width="8" style="2" bestFit="1" customWidth="1"/>
    <col min="35" max="35" width="7.5703125" style="2" bestFit="1" customWidth="1"/>
    <col min="36" max="36" width="10.5703125" style="2" bestFit="1" customWidth="1"/>
    <col min="37" max="37" width="36.5703125" style="2" bestFit="1" customWidth="1"/>
    <col min="38" max="38" width="40.85546875" style="2" bestFit="1" customWidth="1"/>
    <col min="39" max="39" width="19.140625" style="2" bestFit="1" customWidth="1"/>
    <col min="40" max="40" width="11" style="2" bestFit="1" customWidth="1"/>
    <col min="41" max="41" width="12" style="2" bestFit="1" customWidth="1"/>
    <col min="42" max="42" width="8" style="2" bestFit="1" customWidth="1"/>
    <col min="43" max="43" width="18.5703125" style="2" bestFit="1" customWidth="1"/>
    <col min="44" max="44" width="7.5703125" style="2" bestFit="1" customWidth="1"/>
    <col min="45" max="45" width="12.7109375" style="2" bestFit="1" customWidth="1"/>
    <col min="46" max="46" width="12.28515625" style="2" bestFit="1" customWidth="1"/>
    <col min="47" max="47" width="8.140625" style="2" bestFit="1" customWidth="1"/>
    <col min="48" max="48" width="7" style="2" bestFit="1" customWidth="1"/>
    <col min="49" max="49" width="10.28515625" style="2" bestFit="1" customWidth="1"/>
    <col min="50" max="50" width="7.140625" style="2" bestFit="1" customWidth="1"/>
    <col min="51" max="51" width="9.7109375" style="2" bestFit="1" customWidth="1"/>
    <col min="52" max="52" width="7.5703125" style="2" bestFit="1" customWidth="1"/>
    <col min="53" max="53" width="11.42578125" style="2" bestFit="1" customWidth="1"/>
    <col min="54" max="54" width="8.140625" style="2" bestFit="1" customWidth="1"/>
    <col min="55" max="55" width="9.28515625" style="2" bestFit="1" customWidth="1"/>
    <col min="56" max="56" width="8.140625" style="2" bestFit="1" customWidth="1"/>
    <col min="57" max="57" width="9.7109375" style="2" bestFit="1" customWidth="1"/>
    <col min="58" max="58" width="15.140625" style="2" bestFit="1" customWidth="1"/>
    <col min="59" max="59" width="7.140625" style="2" bestFit="1" customWidth="1"/>
    <col min="60" max="60" width="7" style="2" bestFit="1" customWidth="1"/>
    <col min="61" max="61" width="6.140625" style="2" bestFit="1" customWidth="1"/>
    <col min="62" max="62" width="8" style="2" bestFit="1" customWidth="1"/>
    <col min="63" max="63" width="11.85546875" style="2" bestFit="1" customWidth="1"/>
    <col min="64" max="64" width="18.28515625" style="2" bestFit="1" customWidth="1"/>
    <col min="65" max="16384" width="9.140625" style="2"/>
  </cols>
  <sheetData>
    <row r="1" spans="2:64" x14ac:dyDescent="0.2">
      <c r="B1" s="2" t="s">
        <v>856</v>
      </c>
      <c r="K1" s="2" t="s">
        <v>729</v>
      </c>
      <c r="L1" s="26" t="s">
        <v>509</v>
      </c>
      <c r="M1" s="2" t="s">
        <v>857</v>
      </c>
    </row>
    <row r="2" spans="2:64" x14ac:dyDescent="0.2">
      <c r="B2" s="4" t="s">
        <v>463</v>
      </c>
      <c r="C2" s="4" t="s">
        <v>109</v>
      </c>
      <c r="D2" s="4" t="s">
        <v>330</v>
      </c>
      <c r="E2" s="4" t="s">
        <v>112</v>
      </c>
      <c r="F2" s="4" t="s">
        <v>284</v>
      </c>
      <c r="G2" s="4" t="s">
        <v>465</v>
      </c>
      <c r="H2" s="4" t="s">
        <v>464</v>
      </c>
      <c r="K2" s="27">
        <v>1</v>
      </c>
      <c r="L2" s="28" t="s">
        <v>478</v>
      </c>
      <c r="M2" s="476" t="s">
        <v>476</v>
      </c>
      <c r="N2" s="476" t="s">
        <v>475</v>
      </c>
      <c r="O2" s="477"/>
      <c r="P2" s="477"/>
      <c r="Q2" s="477"/>
      <c r="R2" s="477"/>
      <c r="S2" s="477"/>
      <c r="T2" s="477"/>
      <c r="U2" s="477"/>
      <c r="V2" s="477"/>
      <c r="W2" s="477"/>
      <c r="X2" s="477"/>
      <c r="Y2" s="477"/>
      <c r="Z2" s="477"/>
      <c r="AA2" s="477"/>
      <c r="AB2" s="477"/>
      <c r="AC2" s="477"/>
      <c r="AD2" s="477"/>
      <c r="AE2" s="477"/>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row>
    <row r="3" spans="2:64" x14ac:dyDescent="0.2">
      <c r="B3" s="2">
        <v>158</v>
      </c>
      <c r="C3" s="2" t="s">
        <v>414</v>
      </c>
      <c r="D3" s="2" t="s">
        <v>340</v>
      </c>
      <c r="E3" s="2" t="s">
        <v>411</v>
      </c>
      <c r="F3" s="2" t="s">
        <v>290</v>
      </c>
      <c r="G3" s="2" t="s">
        <v>467</v>
      </c>
      <c r="H3" s="2">
        <v>33.5</v>
      </c>
      <c r="K3" s="29">
        <v>2</v>
      </c>
      <c r="L3" s="30" t="s">
        <v>290</v>
      </c>
      <c r="M3" s="476" t="s">
        <v>473</v>
      </c>
      <c r="N3" s="477" t="s">
        <v>340</v>
      </c>
      <c r="O3" s="477" t="s">
        <v>377</v>
      </c>
      <c r="P3" s="477" t="s">
        <v>356</v>
      </c>
      <c r="Q3" s="477" t="s">
        <v>333</v>
      </c>
      <c r="R3" s="477" t="s">
        <v>370</v>
      </c>
      <c r="S3" s="477" t="s">
        <v>470</v>
      </c>
      <c r="T3" s="477" t="s">
        <v>386</v>
      </c>
      <c r="U3" s="477" t="s">
        <v>468</v>
      </c>
      <c r="V3" s="477" t="s">
        <v>352</v>
      </c>
      <c r="W3" s="477" t="s">
        <v>388</v>
      </c>
      <c r="X3" s="477" t="s">
        <v>338</v>
      </c>
      <c r="Y3" s="477" t="s">
        <v>354</v>
      </c>
      <c r="Z3" s="477" t="s">
        <v>362</v>
      </c>
      <c r="AA3" s="477" t="s">
        <v>471</v>
      </c>
      <c r="AB3" s="477" t="s">
        <v>469</v>
      </c>
      <c r="AC3" s="477" t="s">
        <v>472</v>
      </c>
      <c r="AD3" s="477" t="s">
        <v>391</v>
      </c>
      <c r="AE3" s="477" t="s">
        <v>474</v>
      </c>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row>
    <row r="4" spans="2:64" x14ac:dyDescent="0.2">
      <c r="B4" s="2">
        <v>5</v>
      </c>
      <c r="C4" s="2" t="s">
        <v>300</v>
      </c>
      <c r="D4" s="2" t="s">
        <v>340</v>
      </c>
      <c r="E4" s="2" t="s">
        <v>136</v>
      </c>
      <c r="F4" s="2" t="s">
        <v>290</v>
      </c>
      <c r="G4" s="2" t="s">
        <v>477</v>
      </c>
      <c r="H4" s="2">
        <v>118.096</v>
      </c>
      <c r="K4" s="29">
        <v>3</v>
      </c>
      <c r="L4" s="30" t="s">
        <v>123</v>
      </c>
      <c r="M4" s="478" t="s">
        <v>290</v>
      </c>
      <c r="N4" s="479">
        <v>151.596</v>
      </c>
      <c r="O4" s="479"/>
      <c r="P4" s="479">
        <v>1582.8714</v>
      </c>
      <c r="Q4" s="479"/>
      <c r="R4" s="479">
        <v>168.47900000000001</v>
      </c>
      <c r="S4" s="479">
        <v>766.90886999999998</v>
      </c>
      <c r="T4" s="479"/>
      <c r="U4" s="479">
        <v>153.81390000000002</v>
      </c>
      <c r="V4" s="479"/>
      <c r="W4" s="479">
        <v>145.04</v>
      </c>
      <c r="X4" s="479">
        <v>369.08784000000003</v>
      </c>
      <c r="Y4" s="479"/>
      <c r="Z4" s="479">
        <v>136.77000000000001</v>
      </c>
      <c r="AA4" s="479"/>
      <c r="AB4" s="479">
        <v>97.028000000000006</v>
      </c>
      <c r="AC4" s="479"/>
      <c r="AD4" s="479">
        <v>948.99199999999996</v>
      </c>
      <c r="AE4" s="479">
        <v>4520.5870100000002</v>
      </c>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row>
    <row r="5" spans="2:64" x14ac:dyDescent="0.2">
      <c r="B5" s="2">
        <v>109</v>
      </c>
      <c r="C5" s="2" t="s">
        <v>339</v>
      </c>
      <c r="D5" s="2" t="s">
        <v>340</v>
      </c>
      <c r="E5" s="2" t="s">
        <v>335</v>
      </c>
      <c r="F5" s="2" t="s">
        <v>334</v>
      </c>
      <c r="G5" s="2" t="s">
        <v>477</v>
      </c>
      <c r="H5" s="2">
        <v>0</v>
      </c>
      <c r="K5" s="29">
        <v>4</v>
      </c>
      <c r="L5" s="30" t="s">
        <v>334</v>
      </c>
      <c r="M5" s="478" t="s">
        <v>123</v>
      </c>
      <c r="N5" s="479"/>
      <c r="O5" s="479"/>
      <c r="P5" s="479"/>
      <c r="Q5" s="479"/>
      <c r="R5" s="479"/>
      <c r="S5" s="479">
        <v>136.34737193892755</v>
      </c>
      <c r="T5" s="479"/>
      <c r="U5" s="479">
        <v>620.93659600000024</v>
      </c>
      <c r="V5" s="479"/>
      <c r="W5" s="479">
        <v>60.127538824094486</v>
      </c>
      <c r="X5" s="479"/>
      <c r="Y5" s="479"/>
      <c r="Z5" s="479">
        <v>27.87</v>
      </c>
      <c r="AA5" s="479">
        <v>158.93000000000004</v>
      </c>
      <c r="AB5" s="479">
        <v>4.91</v>
      </c>
      <c r="AC5" s="479">
        <v>4.608765</v>
      </c>
      <c r="AD5" s="479"/>
      <c r="AE5" s="479">
        <v>1013.7302717630223</v>
      </c>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row>
    <row r="6" spans="2:64" x14ac:dyDescent="0.2">
      <c r="B6" s="2">
        <v>111</v>
      </c>
      <c r="C6" s="2" t="s">
        <v>342</v>
      </c>
      <c r="D6" s="2" t="s">
        <v>340</v>
      </c>
      <c r="E6" s="2" t="s">
        <v>335</v>
      </c>
      <c r="F6" s="2" t="s">
        <v>334</v>
      </c>
      <c r="G6" s="2" t="s">
        <v>477</v>
      </c>
      <c r="H6" s="2">
        <v>15.84</v>
      </c>
      <c r="K6" s="29">
        <v>5</v>
      </c>
      <c r="L6" s="30" t="s">
        <v>384</v>
      </c>
      <c r="M6" s="478" t="s">
        <v>334</v>
      </c>
      <c r="N6" s="479">
        <v>131.63999999999999</v>
      </c>
      <c r="O6" s="479">
        <v>35</v>
      </c>
      <c r="P6" s="479">
        <v>76</v>
      </c>
      <c r="Q6" s="479">
        <v>179.22</v>
      </c>
      <c r="R6" s="479">
        <v>3.4</v>
      </c>
      <c r="S6" s="479"/>
      <c r="T6" s="479"/>
      <c r="U6" s="479"/>
      <c r="V6" s="479">
        <v>49.84</v>
      </c>
      <c r="W6" s="479"/>
      <c r="X6" s="479">
        <v>134.58000000000001</v>
      </c>
      <c r="Y6" s="479">
        <v>45</v>
      </c>
      <c r="Z6" s="479">
        <v>1.8</v>
      </c>
      <c r="AA6" s="479"/>
      <c r="AB6" s="479"/>
      <c r="AC6" s="479"/>
      <c r="AD6" s="479"/>
      <c r="AE6" s="479">
        <v>656.48</v>
      </c>
    </row>
    <row r="7" spans="2:64" x14ac:dyDescent="0.2">
      <c r="B7" s="2">
        <v>110</v>
      </c>
      <c r="C7" s="2" t="s">
        <v>341</v>
      </c>
      <c r="D7" s="2" t="s">
        <v>340</v>
      </c>
      <c r="E7" s="2" t="s">
        <v>335</v>
      </c>
      <c r="F7" s="2" t="s">
        <v>334</v>
      </c>
      <c r="G7" s="2" t="s">
        <v>477</v>
      </c>
      <c r="H7" s="2">
        <v>39.599999999999994</v>
      </c>
      <c r="K7" s="29">
        <v>6</v>
      </c>
      <c r="L7" s="30" t="s">
        <v>397</v>
      </c>
      <c r="M7" s="478" t="s">
        <v>384</v>
      </c>
      <c r="N7" s="479"/>
      <c r="O7" s="479"/>
      <c r="P7" s="479">
        <v>3.298</v>
      </c>
      <c r="Q7" s="479"/>
      <c r="R7" s="479"/>
      <c r="S7" s="479"/>
      <c r="T7" s="479">
        <v>1.9678</v>
      </c>
      <c r="U7" s="479">
        <v>2.2194500000000001</v>
      </c>
      <c r="V7" s="479">
        <v>1</v>
      </c>
      <c r="W7" s="479">
        <v>4.7279999999999998</v>
      </c>
      <c r="X7" s="479"/>
      <c r="Y7" s="479"/>
      <c r="Z7" s="479"/>
      <c r="AA7" s="479"/>
      <c r="AB7" s="479"/>
      <c r="AC7" s="479"/>
      <c r="AD7" s="479">
        <v>0.104</v>
      </c>
      <c r="AE7" s="479">
        <v>13.31725</v>
      </c>
    </row>
    <row r="8" spans="2:64" x14ac:dyDescent="0.2">
      <c r="B8" s="2">
        <v>155</v>
      </c>
      <c r="C8" s="2" t="s">
        <v>405</v>
      </c>
      <c r="D8" s="2" t="s">
        <v>340</v>
      </c>
      <c r="E8" s="2" t="s">
        <v>401</v>
      </c>
      <c r="F8" s="2" t="s">
        <v>402</v>
      </c>
      <c r="G8" s="2" t="s">
        <v>467</v>
      </c>
      <c r="H8" s="2">
        <v>1.2869999999999999</v>
      </c>
      <c r="K8" s="29">
        <v>7</v>
      </c>
      <c r="L8" s="30" t="s">
        <v>402</v>
      </c>
      <c r="M8" s="478" t="s">
        <v>397</v>
      </c>
      <c r="N8" s="479"/>
      <c r="O8" s="479"/>
      <c r="P8" s="479"/>
      <c r="Q8" s="479"/>
      <c r="R8" s="479"/>
      <c r="S8" s="479"/>
      <c r="T8" s="479"/>
      <c r="U8" s="479"/>
      <c r="V8" s="479"/>
      <c r="W8" s="479"/>
      <c r="X8" s="479"/>
      <c r="Y8" s="479"/>
      <c r="Z8" s="479"/>
      <c r="AA8" s="479"/>
      <c r="AB8" s="479"/>
      <c r="AC8" s="479"/>
      <c r="AD8" s="479">
        <v>5.2060000000000004</v>
      </c>
      <c r="AE8" s="479">
        <v>5.2060000000000004</v>
      </c>
    </row>
    <row r="9" spans="2:64" x14ac:dyDescent="0.2">
      <c r="B9" s="2">
        <v>119</v>
      </c>
      <c r="C9" s="2" t="s">
        <v>350</v>
      </c>
      <c r="D9" s="2" t="s">
        <v>340</v>
      </c>
      <c r="E9" s="2" t="s">
        <v>335</v>
      </c>
      <c r="F9" s="2" t="s">
        <v>334</v>
      </c>
      <c r="G9" s="2" t="s">
        <v>477</v>
      </c>
      <c r="H9" s="2">
        <v>9</v>
      </c>
      <c r="K9" s="31">
        <v>8</v>
      </c>
      <c r="L9" s="32" t="s">
        <v>486</v>
      </c>
      <c r="M9" s="478" t="s">
        <v>402</v>
      </c>
      <c r="N9" s="479">
        <v>2.9870000000000001</v>
      </c>
      <c r="O9" s="479">
        <v>42.120000000000005</v>
      </c>
      <c r="P9" s="479"/>
      <c r="Q9" s="479">
        <v>5</v>
      </c>
      <c r="R9" s="479">
        <v>4.5999999999999996</v>
      </c>
      <c r="S9" s="479"/>
      <c r="T9" s="479">
        <v>2.004</v>
      </c>
      <c r="U9" s="479">
        <v>6.7</v>
      </c>
      <c r="V9" s="479"/>
      <c r="W9" s="479">
        <v>16</v>
      </c>
      <c r="X9" s="479"/>
      <c r="Y9" s="479"/>
      <c r="Z9" s="479">
        <v>12.5</v>
      </c>
      <c r="AA9" s="479"/>
      <c r="AB9" s="479"/>
      <c r="AC9" s="479"/>
      <c r="AD9" s="479">
        <v>4.4039999999999999</v>
      </c>
      <c r="AE9" s="479">
        <v>96.314999999999998</v>
      </c>
    </row>
    <row r="10" spans="2:64" x14ac:dyDescent="0.2">
      <c r="B10" s="2">
        <v>163</v>
      </c>
      <c r="C10" s="2" t="s">
        <v>421</v>
      </c>
      <c r="D10" s="2" t="s">
        <v>340</v>
      </c>
      <c r="E10" s="2" t="s">
        <v>411</v>
      </c>
      <c r="F10" s="2" t="s">
        <v>402</v>
      </c>
      <c r="G10" s="2" t="s">
        <v>467</v>
      </c>
      <c r="H10" s="2">
        <v>1.7</v>
      </c>
      <c r="M10" s="478" t="s">
        <v>486</v>
      </c>
      <c r="N10" s="479"/>
      <c r="O10" s="479"/>
      <c r="P10" s="479"/>
      <c r="Q10" s="479"/>
      <c r="R10" s="479"/>
      <c r="S10" s="479"/>
      <c r="T10" s="479"/>
      <c r="U10" s="479">
        <v>0.22500000000000001</v>
      </c>
      <c r="V10" s="479"/>
      <c r="W10" s="479"/>
      <c r="X10" s="479"/>
      <c r="Y10" s="479"/>
      <c r="Z10" s="479"/>
      <c r="AA10" s="479"/>
      <c r="AB10" s="479"/>
      <c r="AC10" s="479"/>
      <c r="AD10" s="479"/>
      <c r="AE10" s="479">
        <v>0.22500000000000001</v>
      </c>
    </row>
    <row r="11" spans="2:64" x14ac:dyDescent="0.2">
      <c r="B11" s="2">
        <v>125</v>
      </c>
      <c r="C11" s="2" t="s">
        <v>359</v>
      </c>
      <c r="D11" s="2" t="s">
        <v>340</v>
      </c>
      <c r="E11" s="2" t="s">
        <v>335</v>
      </c>
      <c r="F11" s="2" t="s">
        <v>334</v>
      </c>
      <c r="G11" s="2" t="s">
        <v>477</v>
      </c>
      <c r="H11" s="2">
        <v>9.6</v>
      </c>
      <c r="M11" s="478" t="s">
        <v>478</v>
      </c>
      <c r="N11" s="479">
        <v>286.22299999999996</v>
      </c>
      <c r="O11" s="479">
        <v>77.12</v>
      </c>
      <c r="P11" s="479">
        <v>1662.1694</v>
      </c>
      <c r="Q11" s="479">
        <v>184.22</v>
      </c>
      <c r="R11" s="479">
        <v>176.47900000000001</v>
      </c>
      <c r="S11" s="479">
        <v>903.25624193892759</v>
      </c>
      <c r="T11" s="479">
        <v>3.9718</v>
      </c>
      <c r="U11" s="479">
        <v>783.66994600000032</v>
      </c>
      <c r="V11" s="479">
        <v>50.84</v>
      </c>
      <c r="W11" s="479">
        <v>225.8955388240945</v>
      </c>
      <c r="X11" s="479">
        <v>503.66784000000007</v>
      </c>
      <c r="Y11" s="479">
        <v>45</v>
      </c>
      <c r="Z11" s="479">
        <v>178.94000000000003</v>
      </c>
      <c r="AA11" s="479">
        <v>158.93000000000004</v>
      </c>
      <c r="AB11" s="479">
        <v>101.938</v>
      </c>
      <c r="AC11" s="479">
        <v>4.608765</v>
      </c>
      <c r="AD11" s="479">
        <v>958.70600000000002</v>
      </c>
      <c r="AE11" s="479">
        <v>6305.6355317630223</v>
      </c>
    </row>
    <row r="12" spans="2:64" x14ac:dyDescent="0.2">
      <c r="B12" s="2">
        <v>126</v>
      </c>
      <c r="C12" s="2" t="s">
        <v>360</v>
      </c>
      <c r="D12" s="2" t="s">
        <v>340</v>
      </c>
      <c r="E12" s="2" t="s">
        <v>335</v>
      </c>
      <c r="F12" s="2" t="s">
        <v>334</v>
      </c>
      <c r="G12" s="2" t="s">
        <v>477</v>
      </c>
      <c r="H12" s="2">
        <v>24.599999999999994</v>
      </c>
      <c r="M12" s="478" t="s">
        <v>474</v>
      </c>
      <c r="N12" s="479">
        <v>572.44599999999991</v>
      </c>
      <c r="O12" s="479">
        <v>154.24</v>
      </c>
      <c r="P12" s="479">
        <v>3324.3388</v>
      </c>
      <c r="Q12" s="479">
        <v>368.44</v>
      </c>
      <c r="R12" s="479">
        <v>352.95800000000003</v>
      </c>
      <c r="S12" s="479">
        <v>1806.5124838778552</v>
      </c>
      <c r="T12" s="479">
        <v>7.9436</v>
      </c>
      <c r="U12" s="479">
        <v>1567.5648920000008</v>
      </c>
      <c r="V12" s="479">
        <v>101.68</v>
      </c>
      <c r="W12" s="479">
        <v>451.791077648189</v>
      </c>
      <c r="X12" s="479">
        <v>1007.3356800000001</v>
      </c>
      <c r="Y12" s="479">
        <v>90</v>
      </c>
      <c r="Z12" s="479">
        <v>357.88000000000005</v>
      </c>
      <c r="AA12" s="479">
        <v>317.86000000000007</v>
      </c>
      <c r="AB12" s="479">
        <v>203.876</v>
      </c>
      <c r="AC12" s="479">
        <v>9.21753</v>
      </c>
      <c r="AD12" s="479">
        <v>1917.412</v>
      </c>
      <c r="AE12" s="479">
        <v>12611.496063526043</v>
      </c>
    </row>
    <row r="13" spans="2:64" ht="15" x14ac:dyDescent="0.25">
      <c r="B13" s="2">
        <v>131</v>
      </c>
      <c r="C13" s="2" t="s">
        <v>366</v>
      </c>
      <c r="D13" s="2" t="s">
        <v>340</v>
      </c>
      <c r="E13" s="2" t="s">
        <v>335</v>
      </c>
      <c r="F13" s="2" t="s">
        <v>334</v>
      </c>
      <c r="G13" s="2" t="s">
        <v>477</v>
      </c>
      <c r="H13" s="2">
        <v>13.799999999999997</v>
      </c>
      <c r="K13" s="33">
        <v>1</v>
      </c>
      <c r="L13" s="493" t="s">
        <v>852</v>
      </c>
      <c r="M13"/>
      <c r="N13"/>
    </row>
    <row r="14" spans="2:64" ht="15" x14ac:dyDescent="0.25">
      <c r="B14" s="2">
        <v>133</v>
      </c>
      <c r="C14" s="2" t="s">
        <v>368</v>
      </c>
      <c r="D14" s="2" t="s">
        <v>340</v>
      </c>
      <c r="E14" s="2" t="s">
        <v>335</v>
      </c>
      <c r="F14" s="2" t="s">
        <v>334</v>
      </c>
      <c r="G14" s="2" t="s">
        <v>477</v>
      </c>
      <c r="H14" s="2">
        <v>6</v>
      </c>
      <c r="M14"/>
      <c r="N14"/>
    </row>
    <row r="15" spans="2:64" ht="15" x14ac:dyDescent="0.25">
      <c r="B15" s="2">
        <v>136</v>
      </c>
      <c r="C15" s="2" t="s">
        <v>372</v>
      </c>
      <c r="D15" s="2" t="s">
        <v>340</v>
      </c>
      <c r="E15" s="2" t="s">
        <v>335</v>
      </c>
      <c r="F15" s="2" t="s">
        <v>334</v>
      </c>
      <c r="G15" s="2" t="s">
        <v>477</v>
      </c>
      <c r="H15" s="2">
        <v>0</v>
      </c>
      <c r="M15"/>
      <c r="N15"/>
    </row>
    <row r="16" spans="2:64" x14ac:dyDescent="0.2">
      <c r="B16" s="2">
        <v>137</v>
      </c>
      <c r="C16" s="2" t="s">
        <v>373</v>
      </c>
      <c r="D16" s="2" t="s">
        <v>340</v>
      </c>
      <c r="E16" s="2" t="s">
        <v>335</v>
      </c>
      <c r="F16" s="2" t="s">
        <v>334</v>
      </c>
      <c r="G16" s="2" t="s">
        <v>477</v>
      </c>
      <c r="H16" s="2">
        <v>13.2</v>
      </c>
    </row>
    <row r="17" spans="2:8" x14ac:dyDescent="0.2">
      <c r="B17" s="2">
        <v>162</v>
      </c>
      <c r="C17" s="2" t="s">
        <v>420</v>
      </c>
      <c r="D17" s="2" t="s">
        <v>377</v>
      </c>
      <c r="E17" s="2" t="s">
        <v>411</v>
      </c>
      <c r="F17" s="2" t="s">
        <v>402</v>
      </c>
      <c r="G17" s="2" t="s">
        <v>467</v>
      </c>
      <c r="H17" s="2">
        <v>5.12</v>
      </c>
    </row>
    <row r="18" spans="2:8" x14ac:dyDescent="0.2">
      <c r="B18" s="2">
        <v>164</v>
      </c>
      <c r="C18" s="2" t="s">
        <v>422</v>
      </c>
      <c r="D18" s="2" t="s">
        <v>377</v>
      </c>
      <c r="E18" s="2" t="s">
        <v>411</v>
      </c>
      <c r="F18" s="2" t="s">
        <v>402</v>
      </c>
      <c r="G18" s="2" t="s">
        <v>467</v>
      </c>
      <c r="H18" s="2">
        <v>7</v>
      </c>
    </row>
    <row r="19" spans="2:8" x14ac:dyDescent="0.2">
      <c r="B19" s="2">
        <v>166</v>
      </c>
      <c r="C19" s="2" t="s">
        <v>430</v>
      </c>
      <c r="D19" s="2" t="s">
        <v>377</v>
      </c>
      <c r="E19" s="2" t="s">
        <v>411</v>
      </c>
      <c r="F19" s="2" t="s">
        <v>402</v>
      </c>
      <c r="G19" s="2" t="s">
        <v>467</v>
      </c>
      <c r="H19" s="2">
        <v>30</v>
      </c>
    </row>
    <row r="20" spans="2:8" x14ac:dyDescent="0.2">
      <c r="B20" s="2">
        <v>140</v>
      </c>
      <c r="C20" s="2" t="s">
        <v>376</v>
      </c>
      <c r="D20" s="2" t="s">
        <v>377</v>
      </c>
      <c r="E20" s="2" t="s">
        <v>335</v>
      </c>
      <c r="F20" s="2" t="s">
        <v>334</v>
      </c>
      <c r="G20" s="2" t="s">
        <v>477</v>
      </c>
      <c r="H20" s="2">
        <v>15</v>
      </c>
    </row>
    <row r="21" spans="2:8" x14ac:dyDescent="0.2">
      <c r="B21" s="2">
        <v>141</v>
      </c>
      <c r="C21" s="2" t="s">
        <v>378</v>
      </c>
      <c r="D21" s="2" t="s">
        <v>377</v>
      </c>
      <c r="E21" s="2" t="s">
        <v>335</v>
      </c>
      <c r="F21" s="2" t="s">
        <v>334</v>
      </c>
      <c r="G21" s="2" t="s">
        <v>477</v>
      </c>
      <c r="H21" s="2">
        <v>0</v>
      </c>
    </row>
    <row r="22" spans="2:8" x14ac:dyDescent="0.2">
      <c r="B22" s="2">
        <v>142</v>
      </c>
      <c r="C22" s="2" t="s">
        <v>379</v>
      </c>
      <c r="D22" s="2" t="s">
        <v>377</v>
      </c>
      <c r="E22" s="2" t="s">
        <v>335</v>
      </c>
      <c r="F22" s="2" t="s">
        <v>334</v>
      </c>
      <c r="G22" s="2" t="s">
        <v>477</v>
      </c>
      <c r="H22" s="2">
        <v>20</v>
      </c>
    </row>
    <row r="23" spans="2:8" x14ac:dyDescent="0.2">
      <c r="B23" s="2">
        <v>12</v>
      </c>
      <c r="C23" s="2" t="s">
        <v>315</v>
      </c>
      <c r="D23" s="2" t="s">
        <v>356</v>
      </c>
      <c r="E23" s="2" t="s">
        <v>136</v>
      </c>
      <c r="F23" s="2" t="s">
        <v>290</v>
      </c>
      <c r="G23" s="2" t="s">
        <v>477</v>
      </c>
      <c r="H23" s="2">
        <v>764.596</v>
      </c>
    </row>
    <row r="24" spans="2:8" x14ac:dyDescent="0.2">
      <c r="B24" s="2">
        <v>122</v>
      </c>
      <c r="C24" s="2" t="s">
        <v>355</v>
      </c>
      <c r="D24" s="2" t="s">
        <v>356</v>
      </c>
      <c r="E24" s="2" t="s">
        <v>335</v>
      </c>
      <c r="F24" s="2" t="s">
        <v>334</v>
      </c>
      <c r="G24" s="2" t="s">
        <v>477</v>
      </c>
      <c r="H24" s="2">
        <v>26</v>
      </c>
    </row>
    <row r="25" spans="2:8" x14ac:dyDescent="0.2">
      <c r="B25" s="2">
        <v>123</v>
      </c>
      <c r="C25" s="2" t="s">
        <v>357</v>
      </c>
      <c r="D25" s="2" t="s">
        <v>356</v>
      </c>
      <c r="E25" s="2" t="s">
        <v>335</v>
      </c>
      <c r="F25" s="2" t="s">
        <v>334</v>
      </c>
      <c r="G25" s="2" t="s">
        <v>477</v>
      </c>
      <c r="H25" s="2">
        <v>50</v>
      </c>
    </row>
    <row r="26" spans="2:8" x14ac:dyDescent="0.2">
      <c r="B26" s="2">
        <v>145</v>
      </c>
      <c r="C26" s="2" t="s">
        <v>383</v>
      </c>
      <c r="D26" s="2" t="s">
        <v>356</v>
      </c>
      <c r="E26" s="2" t="s">
        <v>136</v>
      </c>
      <c r="F26" s="2" t="s">
        <v>384</v>
      </c>
      <c r="G26" s="2" t="s">
        <v>477</v>
      </c>
      <c r="H26" s="2">
        <v>3.298</v>
      </c>
    </row>
    <row r="27" spans="2:8" x14ac:dyDescent="0.2">
      <c r="B27" s="2">
        <v>14</v>
      </c>
      <c r="C27" s="2" t="s">
        <v>318</v>
      </c>
      <c r="D27" s="2" t="s">
        <v>356</v>
      </c>
      <c r="E27" s="2" t="s">
        <v>136</v>
      </c>
      <c r="F27" s="2" t="s">
        <v>290</v>
      </c>
      <c r="G27" s="2" t="s">
        <v>477</v>
      </c>
      <c r="H27" s="2">
        <v>818.27539999999999</v>
      </c>
    </row>
    <row r="28" spans="2:8" x14ac:dyDescent="0.2">
      <c r="B28" s="2">
        <v>106</v>
      </c>
      <c r="C28" s="2" t="s">
        <v>332</v>
      </c>
      <c r="D28" s="2" t="s">
        <v>333</v>
      </c>
      <c r="E28" s="2" t="s">
        <v>335</v>
      </c>
      <c r="F28" s="2" t="s">
        <v>334</v>
      </c>
      <c r="G28" s="2" t="s">
        <v>477</v>
      </c>
      <c r="H28" s="2">
        <v>70</v>
      </c>
    </row>
    <row r="29" spans="2:8" x14ac:dyDescent="0.2">
      <c r="B29" s="2">
        <v>107</v>
      </c>
      <c r="C29" s="2" t="s">
        <v>336</v>
      </c>
      <c r="D29" s="2" t="s">
        <v>333</v>
      </c>
      <c r="E29" s="2" t="s">
        <v>335</v>
      </c>
      <c r="F29" s="2" t="s">
        <v>334</v>
      </c>
      <c r="G29" s="2" t="s">
        <v>477</v>
      </c>
      <c r="H29" s="2">
        <v>12</v>
      </c>
    </row>
    <row r="30" spans="2:8" x14ac:dyDescent="0.2">
      <c r="B30" s="2">
        <v>161</v>
      </c>
      <c r="C30" s="2" t="s">
        <v>419</v>
      </c>
      <c r="D30" s="2" t="s">
        <v>333</v>
      </c>
      <c r="E30" s="2" t="s">
        <v>411</v>
      </c>
      <c r="F30" s="2" t="s">
        <v>402</v>
      </c>
      <c r="G30" s="2" t="s">
        <v>467</v>
      </c>
      <c r="H30" s="2">
        <v>5</v>
      </c>
    </row>
    <row r="31" spans="2:8" x14ac:dyDescent="0.2">
      <c r="B31" s="2">
        <v>117</v>
      </c>
      <c r="C31" s="2" t="s">
        <v>348</v>
      </c>
      <c r="D31" s="2" t="s">
        <v>333</v>
      </c>
      <c r="E31" s="2" t="s">
        <v>335</v>
      </c>
      <c r="F31" s="2" t="s">
        <v>334</v>
      </c>
      <c r="G31" s="2" t="s">
        <v>477</v>
      </c>
      <c r="H31" s="2">
        <v>9.6</v>
      </c>
    </row>
    <row r="32" spans="2:8" x14ac:dyDescent="0.2">
      <c r="B32" s="2">
        <v>118</v>
      </c>
      <c r="C32" s="2" t="s">
        <v>349</v>
      </c>
      <c r="D32" s="2" t="s">
        <v>333</v>
      </c>
      <c r="E32" s="2" t="s">
        <v>335</v>
      </c>
      <c r="F32" s="2" t="s">
        <v>334</v>
      </c>
      <c r="G32" s="2" t="s">
        <v>477</v>
      </c>
      <c r="H32" s="2">
        <v>17</v>
      </c>
    </row>
    <row r="33" spans="2:56" x14ac:dyDescent="0.2">
      <c r="B33" s="2">
        <v>116</v>
      </c>
      <c r="C33" s="2" t="s">
        <v>347</v>
      </c>
      <c r="D33" s="2" t="s">
        <v>333</v>
      </c>
      <c r="E33" s="2" t="s">
        <v>335</v>
      </c>
      <c r="F33" s="2" t="s">
        <v>334</v>
      </c>
      <c r="G33" s="2" t="s">
        <v>477</v>
      </c>
      <c r="H33" s="2">
        <v>6.6</v>
      </c>
    </row>
    <row r="34" spans="2:56" x14ac:dyDescent="0.2">
      <c r="B34" s="2">
        <v>135</v>
      </c>
      <c r="C34" s="2" t="s">
        <v>371</v>
      </c>
      <c r="D34" s="2" t="s">
        <v>333</v>
      </c>
      <c r="E34" s="2" t="s">
        <v>335</v>
      </c>
      <c r="F34" s="2" t="s">
        <v>334</v>
      </c>
      <c r="G34" s="2" t="s">
        <v>477</v>
      </c>
      <c r="H34" s="2">
        <v>54</v>
      </c>
    </row>
    <row r="35" spans="2:56" x14ac:dyDescent="0.2">
      <c r="B35" s="2">
        <v>138</v>
      </c>
      <c r="C35" s="2" t="s">
        <v>374</v>
      </c>
      <c r="D35" s="2" t="s">
        <v>333</v>
      </c>
      <c r="E35" s="2" t="s">
        <v>335</v>
      </c>
      <c r="F35" s="2" t="s">
        <v>334</v>
      </c>
      <c r="G35" s="2" t="s">
        <v>477</v>
      </c>
      <c r="H35" s="2">
        <v>10.02</v>
      </c>
    </row>
    <row r="36" spans="2:56" x14ac:dyDescent="0.2">
      <c r="B36" s="2">
        <v>165</v>
      </c>
      <c r="C36" s="2" t="s">
        <v>427</v>
      </c>
      <c r="D36" s="2" t="s">
        <v>370</v>
      </c>
      <c r="E36" s="2" t="s">
        <v>411</v>
      </c>
      <c r="F36" s="2" t="s">
        <v>290</v>
      </c>
      <c r="G36" s="2" t="s">
        <v>467</v>
      </c>
      <c r="H36" s="2">
        <v>36</v>
      </c>
    </row>
    <row r="37" spans="2:56" x14ac:dyDescent="0.2">
      <c r="B37" s="2">
        <v>169</v>
      </c>
      <c r="C37" s="2" t="s">
        <v>433</v>
      </c>
      <c r="D37" s="2" t="s">
        <v>370</v>
      </c>
      <c r="E37" s="2" t="s">
        <v>411</v>
      </c>
      <c r="F37" s="2" t="s">
        <v>402</v>
      </c>
      <c r="G37" s="2" t="s">
        <v>467</v>
      </c>
      <c r="H37" s="2">
        <v>4.5999999999999996</v>
      </c>
    </row>
    <row r="38" spans="2:56" x14ac:dyDescent="0.2">
      <c r="B38" s="2">
        <v>134</v>
      </c>
      <c r="C38" s="2" t="s">
        <v>369</v>
      </c>
      <c r="D38" s="2" t="s">
        <v>370</v>
      </c>
      <c r="E38" s="2" t="s">
        <v>335</v>
      </c>
      <c r="F38" s="2" t="s">
        <v>334</v>
      </c>
      <c r="G38" s="2" t="s">
        <v>477</v>
      </c>
      <c r="H38" s="2">
        <v>3.4</v>
      </c>
      <c r="M38" s="2" t="s">
        <v>860</v>
      </c>
      <c r="N38" s="15"/>
      <c r="O38" s="15"/>
      <c r="P38" s="15"/>
      <c r="Q38" s="15"/>
      <c r="R38" s="15"/>
      <c r="S38" s="15"/>
      <c r="T38" s="15"/>
      <c r="U38" s="15"/>
    </row>
    <row r="39" spans="2:56" ht="15" x14ac:dyDescent="0.25">
      <c r="B39" s="2">
        <v>3</v>
      </c>
      <c r="C39" s="2" t="s">
        <v>296</v>
      </c>
      <c r="D39" s="2" t="s">
        <v>370</v>
      </c>
      <c r="E39" s="2" t="s">
        <v>136</v>
      </c>
      <c r="F39" s="2" t="s">
        <v>290</v>
      </c>
      <c r="G39" s="2" t="s">
        <v>477</v>
      </c>
      <c r="H39" s="2">
        <v>132.47900000000001</v>
      </c>
      <c r="M39" s="20" t="s">
        <v>476</v>
      </c>
      <c r="N39" s="20" t="s">
        <v>475</v>
      </c>
      <c r="O39" s="20" t="s">
        <v>510</v>
      </c>
      <c r="P39" s="20" t="s">
        <v>511</v>
      </c>
      <c r="Q39" s="20" t="s">
        <v>512</v>
      </c>
      <c r="R39" s="20" t="s">
        <v>513</v>
      </c>
      <c r="S39" s="20" t="s">
        <v>514</v>
      </c>
      <c r="T39" s="20" t="s">
        <v>515</v>
      </c>
      <c r="U39" s="20" t="s">
        <v>516</v>
      </c>
      <c r="V39" s="20" t="s">
        <v>517</v>
      </c>
      <c r="W39" s="20" t="s">
        <v>518</v>
      </c>
      <c r="X39" s="20" t="s">
        <v>519</v>
      </c>
      <c r="Y39" s="20" t="s">
        <v>520</v>
      </c>
      <c r="Z39" s="20" t="s">
        <v>521</v>
      </c>
      <c r="AA39" s="20" t="s">
        <v>522</v>
      </c>
      <c r="AB39" s="20" t="s">
        <v>523</v>
      </c>
      <c r="AC39" s="20" t="s">
        <v>524</v>
      </c>
      <c r="AD39" s="20" t="s">
        <v>525</v>
      </c>
    </row>
    <row r="40" spans="2:56" ht="15" x14ac:dyDescent="0.25">
      <c r="B40" s="2">
        <v>69</v>
      </c>
      <c r="C40" s="2" t="s">
        <v>222</v>
      </c>
      <c r="D40" s="2" t="s">
        <v>470</v>
      </c>
      <c r="E40" s="2" t="s">
        <v>216</v>
      </c>
      <c r="F40" s="2" t="s">
        <v>123</v>
      </c>
      <c r="G40" s="2" t="s">
        <v>477</v>
      </c>
      <c r="H40" s="2">
        <v>0.18939930338422084</v>
      </c>
      <c r="M40" s="21" t="s">
        <v>473</v>
      </c>
      <c r="N40" s="21" t="s">
        <v>340</v>
      </c>
      <c r="O40" s="21" t="s">
        <v>377</v>
      </c>
      <c r="P40" s="21" t="s">
        <v>356</v>
      </c>
      <c r="Q40" s="21" t="s">
        <v>333</v>
      </c>
      <c r="R40" s="21" t="s">
        <v>370</v>
      </c>
      <c r="S40" s="21" t="s">
        <v>470</v>
      </c>
      <c r="T40" s="21" t="s">
        <v>386</v>
      </c>
      <c r="U40" s="21" t="s">
        <v>468</v>
      </c>
      <c r="V40" s="21" t="s">
        <v>352</v>
      </c>
      <c r="W40" s="21" t="s">
        <v>388</v>
      </c>
      <c r="X40" s="21" t="s">
        <v>338</v>
      </c>
      <c r="Y40" s="21" t="s">
        <v>354</v>
      </c>
      <c r="Z40" s="21" t="s">
        <v>362</v>
      </c>
      <c r="AA40" s="21" t="s">
        <v>471</v>
      </c>
      <c r="AB40" s="21" t="s">
        <v>469</v>
      </c>
      <c r="AC40" s="21" t="s">
        <v>472</v>
      </c>
      <c r="AD40" s="21" t="s">
        <v>391</v>
      </c>
    </row>
    <row r="41" spans="2:56" x14ac:dyDescent="0.2">
      <c r="B41" s="2">
        <v>63</v>
      </c>
      <c r="C41" s="2" t="s">
        <v>215</v>
      </c>
      <c r="D41" s="2" t="s">
        <v>470</v>
      </c>
      <c r="E41" s="2" t="s">
        <v>216</v>
      </c>
      <c r="F41" s="2" t="s">
        <v>123</v>
      </c>
      <c r="G41" s="2" t="s">
        <v>477</v>
      </c>
      <c r="H41" s="2">
        <v>20.55</v>
      </c>
      <c r="M41" s="16" t="str">
        <f>VLOOKUP(K13,$K$2:$L$9,2)</f>
        <v>All Technologies</v>
      </c>
      <c r="N41" s="22">
        <f>GETPIVOTDATA("Capacity",$M$2,"Region",N$40,"Technology",$M$41)</f>
        <v>286.22299999999996</v>
      </c>
      <c r="O41" s="22">
        <f t="shared" ref="O41:AD41" si="0">GETPIVOTDATA("Capacity",$M$2,"Region",O$40,"Technology",$M$41)</f>
        <v>77.12</v>
      </c>
      <c r="P41" s="22">
        <f t="shared" si="0"/>
        <v>1662.1694</v>
      </c>
      <c r="Q41" s="22">
        <f t="shared" si="0"/>
        <v>184.22</v>
      </c>
      <c r="R41" s="22">
        <f t="shared" si="0"/>
        <v>176.47900000000001</v>
      </c>
      <c r="S41" s="22">
        <f t="shared" si="0"/>
        <v>903.25624193892759</v>
      </c>
      <c r="T41" s="22">
        <f t="shared" si="0"/>
        <v>3.9718</v>
      </c>
      <c r="U41" s="22">
        <f t="shared" si="0"/>
        <v>783.66994600000032</v>
      </c>
      <c r="V41" s="22">
        <f t="shared" si="0"/>
        <v>50.84</v>
      </c>
      <c r="W41" s="22">
        <f t="shared" si="0"/>
        <v>225.8955388240945</v>
      </c>
      <c r="X41" s="22">
        <f t="shared" si="0"/>
        <v>503.66784000000007</v>
      </c>
      <c r="Y41" s="22">
        <f t="shared" si="0"/>
        <v>45</v>
      </c>
      <c r="Z41" s="22">
        <f t="shared" si="0"/>
        <v>178.94000000000003</v>
      </c>
      <c r="AA41" s="22">
        <f t="shared" si="0"/>
        <v>158.93000000000004</v>
      </c>
      <c r="AB41" s="22">
        <f t="shared" si="0"/>
        <v>101.938</v>
      </c>
      <c r="AC41" s="22">
        <f t="shared" si="0"/>
        <v>4.608765</v>
      </c>
      <c r="AD41" s="22">
        <f t="shared" si="0"/>
        <v>958.70600000000002</v>
      </c>
    </row>
    <row r="42" spans="2:56" x14ac:dyDescent="0.2">
      <c r="B42" s="2">
        <v>70</v>
      </c>
      <c r="C42" s="2" t="s">
        <v>223</v>
      </c>
      <c r="D42" s="2" t="s">
        <v>470</v>
      </c>
      <c r="E42" s="2" t="s">
        <v>216</v>
      </c>
      <c r="F42" s="2" t="s">
        <v>123</v>
      </c>
      <c r="G42" s="2" t="s">
        <v>477</v>
      </c>
      <c r="H42" s="2">
        <v>1.3924807855624071</v>
      </c>
      <c r="N42" s="15"/>
      <c r="O42" s="15"/>
      <c r="P42" s="15"/>
      <c r="Q42" s="15"/>
      <c r="R42" s="15"/>
      <c r="S42" s="15"/>
      <c r="T42" s="15"/>
      <c r="U42" s="15"/>
      <c r="V42" s="15"/>
      <c r="W42" s="15"/>
      <c r="X42" s="15"/>
      <c r="Y42" s="15"/>
      <c r="Z42" s="15"/>
      <c r="AA42" s="15"/>
      <c r="AB42" s="15"/>
      <c r="AC42" s="15"/>
      <c r="AD42" s="15"/>
    </row>
    <row r="43" spans="2:56" x14ac:dyDescent="0.2">
      <c r="B43" s="2">
        <v>71</v>
      </c>
      <c r="C43" s="2" t="s">
        <v>225</v>
      </c>
      <c r="D43" s="2" t="s">
        <v>470</v>
      </c>
      <c r="E43" s="2" t="s">
        <v>216</v>
      </c>
      <c r="F43" s="2" t="s">
        <v>123</v>
      </c>
      <c r="G43" s="2" t="s">
        <v>477</v>
      </c>
      <c r="H43" s="2">
        <v>0.89800000000000002</v>
      </c>
      <c r="O43" s="15"/>
      <c r="P43" s="15"/>
      <c r="Q43" s="15"/>
      <c r="R43" s="15"/>
      <c r="S43" s="15"/>
      <c r="T43" s="15"/>
      <c r="U43" s="15"/>
      <c r="V43" s="15"/>
      <c r="W43" s="15"/>
      <c r="X43" s="15"/>
      <c r="Y43" s="15"/>
      <c r="Z43" s="15"/>
      <c r="AA43" s="15"/>
      <c r="AB43" s="15"/>
      <c r="AC43" s="15"/>
      <c r="AD43" s="15"/>
    </row>
    <row r="44" spans="2:56" ht="15" x14ac:dyDescent="0.25">
      <c r="B44" s="2">
        <v>46</v>
      </c>
      <c r="C44" s="2" t="s">
        <v>183</v>
      </c>
      <c r="D44" s="2" t="s">
        <v>470</v>
      </c>
      <c r="E44" s="2" t="s">
        <v>136</v>
      </c>
      <c r="F44" s="2" t="s">
        <v>123</v>
      </c>
      <c r="G44" s="2" t="s">
        <v>477</v>
      </c>
      <c r="H44" s="2">
        <v>16.649999999999999</v>
      </c>
      <c r="V44"/>
      <c r="W44" s="15"/>
      <c r="X44" s="15"/>
      <c r="Y44" s="15"/>
      <c r="Z44" s="15"/>
      <c r="AA44" s="15"/>
      <c r="AB44" s="15"/>
      <c r="AC44" s="15"/>
      <c r="AD44" s="15"/>
    </row>
    <row r="45" spans="2:56" ht="15" x14ac:dyDescent="0.25">
      <c r="B45" s="2">
        <v>72</v>
      </c>
      <c r="C45" s="2" t="s">
        <v>227</v>
      </c>
      <c r="D45" s="2" t="s">
        <v>470</v>
      </c>
      <c r="E45" s="2" t="s">
        <v>216</v>
      </c>
      <c r="F45" s="2" t="s">
        <v>123</v>
      </c>
      <c r="G45" s="2" t="s">
        <v>477</v>
      </c>
      <c r="H45" s="2">
        <v>0.13619639763047364</v>
      </c>
      <c r="M45" s="2" t="s">
        <v>858</v>
      </c>
      <c r="V45"/>
      <c r="W45" s="15"/>
      <c r="X45" s="15"/>
      <c r="Y45" s="15"/>
      <c r="Z45" s="15"/>
      <c r="AA45" s="15"/>
      <c r="AB45" s="15"/>
      <c r="AC45" s="15"/>
      <c r="AD45" s="15"/>
    </row>
    <row r="46" spans="2:56" ht="15" x14ac:dyDescent="0.25">
      <c r="B46" s="2">
        <v>48</v>
      </c>
      <c r="C46" s="2" t="s">
        <v>185</v>
      </c>
      <c r="D46" s="2" t="s">
        <v>470</v>
      </c>
      <c r="E46" s="2" t="s">
        <v>136</v>
      </c>
      <c r="F46" s="2" t="s">
        <v>123</v>
      </c>
      <c r="G46" s="2" t="s">
        <v>477</v>
      </c>
      <c r="H46" s="2">
        <v>3.57</v>
      </c>
      <c r="M46" s="476" t="s">
        <v>479</v>
      </c>
      <c r="N46" s="476" t="s">
        <v>475</v>
      </c>
      <c r="O46" s="477"/>
      <c r="P46" s="477"/>
      <c r="Q46" s="477"/>
      <c r="R46" s="477"/>
      <c r="S46" s="477"/>
      <c r="T46" s="477"/>
      <c r="U46" s="477"/>
      <c r="V46"/>
      <c r="W46" s="15"/>
      <c r="X46" s="15"/>
      <c r="Y46" s="15"/>
      <c r="Z46" s="15"/>
      <c r="AA46" s="15"/>
      <c r="AB46" s="15"/>
      <c r="AC46" s="15"/>
      <c r="AD46" s="15"/>
    </row>
    <row r="47" spans="2:56" ht="15" x14ac:dyDescent="0.25">
      <c r="B47" s="2">
        <v>64</v>
      </c>
      <c r="C47" s="2" t="s">
        <v>217</v>
      </c>
      <c r="D47" s="2" t="s">
        <v>470</v>
      </c>
      <c r="E47" s="2" t="s">
        <v>216</v>
      </c>
      <c r="F47" s="2" t="s">
        <v>123</v>
      </c>
      <c r="G47" s="2" t="s">
        <v>477</v>
      </c>
      <c r="H47" s="2">
        <v>10.92</v>
      </c>
      <c r="M47" s="476" t="s">
        <v>473</v>
      </c>
      <c r="N47" s="477" t="s">
        <v>290</v>
      </c>
      <c r="O47" s="477" t="s">
        <v>123</v>
      </c>
      <c r="P47" s="477" t="s">
        <v>334</v>
      </c>
      <c r="Q47" s="477" t="s">
        <v>384</v>
      </c>
      <c r="R47" s="477" t="s">
        <v>397</v>
      </c>
      <c r="S47" s="477" t="s">
        <v>402</v>
      </c>
      <c r="T47" s="477" t="s">
        <v>486</v>
      </c>
      <c r="U47" s="477" t="s">
        <v>474</v>
      </c>
      <c r="V47"/>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row>
    <row r="48" spans="2:56" ht="15" x14ac:dyDescent="0.25">
      <c r="B48" s="2">
        <v>73</v>
      </c>
      <c r="C48" s="2" t="s">
        <v>228</v>
      </c>
      <c r="D48" s="2" t="s">
        <v>470</v>
      </c>
      <c r="E48" s="2" t="s">
        <v>216</v>
      </c>
      <c r="F48" s="2" t="s">
        <v>123</v>
      </c>
      <c r="G48" s="2" t="s">
        <v>477</v>
      </c>
      <c r="H48" s="2">
        <v>0.21360080701078346</v>
      </c>
      <c r="M48" s="478" t="s">
        <v>340</v>
      </c>
      <c r="N48" s="479">
        <v>151.596</v>
      </c>
      <c r="O48" s="479"/>
      <c r="P48" s="479">
        <v>131.63999999999999</v>
      </c>
      <c r="Q48" s="479"/>
      <c r="R48" s="479"/>
      <c r="S48" s="479">
        <v>2.9870000000000001</v>
      </c>
      <c r="T48" s="479"/>
      <c r="U48" s="479">
        <v>286.22300000000001</v>
      </c>
      <c r="V48"/>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row>
    <row r="49" spans="2:56" ht="15" x14ac:dyDescent="0.25">
      <c r="B49" s="2">
        <v>49</v>
      </c>
      <c r="C49" s="2" t="s">
        <v>187</v>
      </c>
      <c r="D49" s="2" t="s">
        <v>470</v>
      </c>
      <c r="E49" s="2" t="s">
        <v>136</v>
      </c>
      <c r="F49" s="2" t="s">
        <v>123</v>
      </c>
      <c r="G49" s="2" t="s">
        <v>477</v>
      </c>
      <c r="H49" s="2">
        <v>7.52</v>
      </c>
      <c r="M49" s="478" t="s">
        <v>377</v>
      </c>
      <c r="N49" s="479"/>
      <c r="O49" s="479"/>
      <c r="P49" s="479">
        <v>35</v>
      </c>
      <c r="Q49" s="479"/>
      <c r="R49" s="479"/>
      <c r="S49" s="479">
        <v>42.120000000000005</v>
      </c>
      <c r="T49" s="479"/>
      <c r="U49" s="479">
        <v>77.12</v>
      </c>
      <c r="V49"/>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row>
    <row r="50" spans="2:56" ht="15" x14ac:dyDescent="0.25">
      <c r="B50" s="2">
        <v>74</v>
      </c>
      <c r="C50" s="2" t="s">
        <v>231</v>
      </c>
      <c r="D50" s="2" t="s">
        <v>470</v>
      </c>
      <c r="E50" s="2" t="s">
        <v>216</v>
      </c>
      <c r="F50" s="2" t="s">
        <v>123</v>
      </c>
      <c r="G50" s="2" t="s">
        <v>477</v>
      </c>
      <c r="H50" s="2">
        <v>1.6749206922297299</v>
      </c>
      <c r="M50" s="478" t="s">
        <v>356</v>
      </c>
      <c r="N50" s="479">
        <v>1582.8714</v>
      </c>
      <c r="O50" s="479"/>
      <c r="P50" s="479">
        <v>76</v>
      </c>
      <c r="Q50" s="479">
        <v>3.298</v>
      </c>
      <c r="R50" s="479"/>
      <c r="S50" s="479"/>
      <c r="T50" s="479"/>
      <c r="U50" s="479">
        <v>1662.1694</v>
      </c>
      <c r="V50"/>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row>
    <row r="51" spans="2:56" ht="15" x14ac:dyDescent="0.25">
      <c r="B51" s="2">
        <v>75</v>
      </c>
      <c r="C51" s="2" t="s">
        <v>233</v>
      </c>
      <c r="D51" s="2" t="s">
        <v>470</v>
      </c>
      <c r="E51" s="2" t="s">
        <v>216</v>
      </c>
      <c r="F51" s="2" t="s">
        <v>123</v>
      </c>
      <c r="G51" s="2" t="s">
        <v>477</v>
      </c>
      <c r="H51" s="2">
        <v>0.3275249983374075</v>
      </c>
      <c r="M51" s="478" t="s">
        <v>333</v>
      </c>
      <c r="N51" s="479"/>
      <c r="O51" s="479"/>
      <c r="P51" s="479">
        <v>179.22</v>
      </c>
      <c r="Q51" s="479"/>
      <c r="R51" s="479"/>
      <c r="S51" s="479">
        <v>5</v>
      </c>
      <c r="T51" s="479"/>
      <c r="U51" s="479">
        <v>184.22</v>
      </c>
      <c r="V51"/>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row>
    <row r="52" spans="2:56" ht="15" x14ac:dyDescent="0.25">
      <c r="B52" s="2">
        <v>47</v>
      </c>
      <c r="C52" s="2" t="s">
        <v>184</v>
      </c>
      <c r="D52" s="2" t="s">
        <v>470</v>
      </c>
      <c r="E52" s="2" t="s">
        <v>136</v>
      </c>
      <c r="F52" s="2" t="s">
        <v>123</v>
      </c>
      <c r="G52" s="2" t="s">
        <v>477</v>
      </c>
      <c r="H52" s="2">
        <v>8.6999999999999993</v>
      </c>
      <c r="M52" s="478" t="s">
        <v>370</v>
      </c>
      <c r="N52" s="479">
        <v>168.47900000000001</v>
      </c>
      <c r="O52" s="479"/>
      <c r="P52" s="479">
        <v>3.4</v>
      </c>
      <c r="Q52" s="479"/>
      <c r="R52" s="479"/>
      <c r="S52" s="479">
        <v>4.5999999999999996</v>
      </c>
      <c r="T52" s="479"/>
      <c r="U52" s="479">
        <v>176.47900000000001</v>
      </c>
      <c r="V52"/>
      <c r="W52" s="22"/>
      <c r="X52" s="22"/>
      <c r="Y52" s="22"/>
      <c r="Z52" s="22"/>
      <c r="AA52" s="22"/>
      <c r="AB52" s="22"/>
      <c r="AC52" s="22"/>
      <c r="AD52" s="22"/>
    </row>
    <row r="53" spans="2:56" ht="15" x14ac:dyDescent="0.25">
      <c r="B53" s="2">
        <v>59</v>
      </c>
      <c r="C53" s="2" t="s">
        <v>206</v>
      </c>
      <c r="D53" s="2" t="s">
        <v>470</v>
      </c>
      <c r="E53" s="2" t="s">
        <v>136</v>
      </c>
      <c r="F53" s="2" t="s">
        <v>123</v>
      </c>
      <c r="G53" s="2" t="s">
        <v>477</v>
      </c>
      <c r="H53" s="2">
        <v>0.29279195529301771</v>
      </c>
      <c r="M53" s="478" t="s">
        <v>470</v>
      </c>
      <c r="N53" s="479">
        <v>766.90886999999998</v>
      </c>
      <c r="O53" s="479">
        <v>136.34737193892755</v>
      </c>
      <c r="P53" s="479"/>
      <c r="Q53" s="479"/>
      <c r="R53" s="479"/>
      <c r="S53" s="479"/>
      <c r="T53" s="479"/>
      <c r="U53" s="479">
        <v>903.25624193892759</v>
      </c>
      <c r="V53"/>
      <c r="W53" s="22"/>
      <c r="X53" s="22"/>
      <c r="Y53" s="22"/>
      <c r="Z53" s="22"/>
      <c r="AA53" s="22"/>
      <c r="AB53" s="22"/>
      <c r="AC53" s="22"/>
      <c r="AD53" s="22"/>
    </row>
    <row r="54" spans="2:56" ht="15" x14ac:dyDescent="0.25">
      <c r="B54" s="2">
        <v>76</v>
      </c>
      <c r="C54" s="2" t="s">
        <v>234</v>
      </c>
      <c r="D54" s="2" t="s">
        <v>470</v>
      </c>
      <c r="E54" s="2" t="s">
        <v>216</v>
      </c>
      <c r="F54" s="2" t="s">
        <v>123</v>
      </c>
      <c r="G54" s="2" t="s">
        <v>477</v>
      </c>
      <c r="H54" s="2">
        <v>0.31482890015564502</v>
      </c>
      <c r="M54" s="478" t="s">
        <v>386</v>
      </c>
      <c r="N54" s="479"/>
      <c r="O54" s="479"/>
      <c r="P54" s="479"/>
      <c r="Q54" s="479">
        <v>1.9678</v>
      </c>
      <c r="R54" s="479"/>
      <c r="S54" s="479">
        <v>2.004</v>
      </c>
      <c r="T54" s="479"/>
      <c r="U54" s="479">
        <v>3.9718</v>
      </c>
      <c r="V54"/>
      <c r="W54" s="22"/>
      <c r="X54" s="22"/>
      <c r="Y54" s="22"/>
      <c r="Z54" s="22"/>
      <c r="AA54" s="22"/>
      <c r="AB54" s="22"/>
      <c r="AC54" s="22"/>
      <c r="AD54" s="22"/>
    </row>
    <row r="55" spans="2:56" ht="15" x14ac:dyDescent="0.25">
      <c r="B55" s="2">
        <v>77</v>
      </c>
      <c r="C55" s="2" t="s">
        <v>235</v>
      </c>
      <c r="D55" s="2" t="s">
        <v>470</v>
      </c>
      <c r="E55" s="2" t="s">
        <v>216</v>
      </c>
      <c r="F55" s="2" t="s">
        <v>123</v>
      </c>
      <c r="G55" s="2" t="s">
        <v>477</v>
      </c>
      <c r="H55" s="2">
        <v>0.42471481860381793</v>
      </c>
      <c r="M55" s="478" t="s">
        <v>468</v>
      </c>
      <c r="N55" s="479">
        <v>153.81390000000002</v>
      </c>
      <c r="O55" s="479">
        <v>620.93659600000024</v>
      </c>
      <c r="P55" s="479"/>
      <c r="Q55" s="479">
        <v>2.2194500000000001</v>
      </c>
      <c r="R55" s="479"/>
      <c r="S55" s="479">
        <v>6.7</v>
      </c>
      <c r="T55" s="479">
        <v>0.22500000000000001</v>
      </c>
      <c r="U55" s="479">
        <v>783.89494600000035</v>
      </c>
      <c r="V55"/>
      <c r="W55" s="22"/>
      <c r="X55" s="22"/>
      <c r="Y55" s="22"/>
      <c r="Z55" s="22"/>
      <c r="AA55" s="22"/>
      <c r="AB55" s="22"/>
      <c r="AC55" s="22"/>
      <c r="AD55" s="22"/>
    </row>
    <row r="56" spans="2:56" ht="15" x14ac:dyDescent="0.25">
      <c r="B56" s="2">
        <v>78</v>
      </c>
      <c r="C56" s="2" t="s">
        <v>237</v>
      </c>
      <c r="D56" s="2" t="s">
        <v>470</v>
      </c>
      <c r="E56" s="2" t="s">
        <v>216</v>
      </c>
      <c r="F56" s="2" t="s">
        <v>123</v>
      </c>
      <c r="G56" s="2" t="s">
        <v>477</v>
      </c>
      <c r="H56" s="2">
        <v>0.48847187471596643</v>
      </c>
      <c r="M56" s="478" t="s">
        <v>352</v>
      </c>
      <c r="N56" s="479"/>
      <c r="O56" s="479"/>
      <c r="P56" s="479">
        <v>49.84</v>
      </c>
      <c r="Q56" s="479">
        <v>1</v>
      </c>
      <c r="R56" s="479"/>
      <c r="S56" s="479"/>
      <c r="T56" s="479"/>
      <c r="U56" s="479">
        <v>50.84</v>
      </c>
      <c r="V56"/>
    </row>
    <row r="57" spans="2:56" ht="15" x14ac:dyDescent="0.25">
      <c r="B57" s="2">
        <v>79</v>
      </c>
      <c r="C57" s="2" t="s">
        <v>238</v>
      </c>
      <c r="D57" s="2" t="s">
        <v>470</v>
      </c>
      <c r="E57" s="2" t="s">
        <v>216</v>
      </c>
      <c r="F57" s="2" t="s">
        <v>123</v>
      </c>
      <c r="G57" s="2" t="s">
        <v>477</v>
      </c>
      <c r="H57" s="2">
        <v>0.66088765116161197</v>
      </c>
      <c r="M57" s="478" t="s">
        <v>388</v>
      </c>
      <c r="N57" s="479">
        <v>145.04</v>
      </c>
      <c r="O57" s="479">
        <v>60.127538824094486</v>
      </c>
      <c r="P57" s="479"/>
      <c r="Q57" s="479">
        <v>4.7279999999999998</v>
      </c>
      <c r="R57" s="479"/>
      <c r="S57" s="479">
        <v>16</v>
      </c>
      <c r="T57" s="479"/>
      <c r="U57" s="479">
        <v>225.8955388240945</v>
      </c>
      <c r="V57"/>
    </row>
    <row r="58" spans="2:56" ht="15" x14ac:dyDescent="0.25">
      <c r="B58" s="2">
        <v>65</v>
      </c>
      <c r="C58" s="2" t="s">
        <v>218</v>
      </c>
      <c r="D58" s="2" t="s">
        <v>470</v>
      </c>
      <c r="E58" s="2" t="s">
        <v>216</v>
      </c>
      <c r="F58" s="2" t="s">
        <v>123</v>
      </c>
      <c r="G58" s="2" t="s">
        <v>477</v>
      </c>
      <c r="H58" s="2">
        <v>10.23</v>
      </c>
      <c r="M58" s="478" t="s">
        <v>338</v>
      </c>
      <c r="N58" s="479">
        <v>369.08784000000003</v>
      </c>
      <c r="O58" s="479"/>
      <c r="P58" s="479">
        <v>134.58000000000001</v>
      </c>
      <c r="Q58" s="479"/>
      <c r="R58" s="479"/>
      <c r="S58" s="479"/>
      <c r="T58" s="479"/>
      <c r="U58" s="479">
        <v>503.66784000000007</v>
      </c>
      <c r="V58"/>
    </row>
    <row r="59" spans="2:56" ht="15" x14ac:dyDescent="0.25">
      <c r="B59" s="2">
        <v>80</v>
      </c>
      <c r="C59" s="2" t="s">
        <v>239</v>
      </c>
      <c r="D59" s="2" t="s">
        <v>470</v>
      </c>
      <c r="E59" s="2" t="s">
        <v>216</v>
      </c>
      <c r="F59" s="2" t="s">
        <v>123</v>
      </c>
      <c r="G59" s="2" t="s">
        <v>477</v>
      </c>
      <c r="H59" s="2">
        <v>0.54250699241566824</v>
      </c>
      <c r="M59" s="478" t="s">
        <v>354</v>
      </c>
      <c r="N59" s="479"/>
      <c r="O59" s="479"/>
      <c r="P59" s="479">
        <v>45</v>
      </c>
      <c r="Q59" s="479"/>
      <c r="R59" s="479"/>
      <c r="S59" s="479"/>
      <c r="T59" s="479"/>
      <c r="U59" s="479">
        <v>45</v>
      </c>
      <c r="V59"/>
    </row>
    <row r="60" spans="2:56" ht="15" x14ac:dyDescent="0.25">
      <c r="B60" s="2">
        <v>81</v>
      </c>
      <c r="C60" s="2" t="s">
        <v>240</v>
      </c>
      <c r="D60" s="2" t="s">
        <v>470</v>
      </c>
      <c r="E60" s="2" t="s">
        <v>216</v>
      </c>
      <c r="F60" s="2" t="s">
        <v>123</v>
      </c>
      <c r="G60" s="2" t="s">
        <v>477</v>
      </c>
      <c r="H60" s="2">
        <v>0.20442806703246383</v>
      </c>
      <c r="M60" s="478" t="s">
        <v>362</v>
      </c>
      <c r="N60" s="479">
        <v>136.77000000000001</v>
      </c>
      <c r="O60" s="479">
        <v>27.87</v>
      </c>
      <c r="P60" s="479">
        <v>1.8</v>
      </c>
      <c r="Q60" s="479"/>
      <c r="R60" s="479"/>
      <c r="S60" s="479">
        <v>12.5</v>
      </c>
      <c r="T60" s="479"/>
      <c r="U60" s="479">
        <v>178.94000000000003</v>
      </c>
      <c r="V60"/>
    </row>
    <row r="61" spans="2:56" ht="15" x14ac:dyDescent="0.25">
      <c r="B61" s="2">
        <v>82</v>
      </c>
      <c r="C61" s="2" t="s">
        <v>241</v>
      </c>
      <c r="D61" s="2" t="s">
        <v>470</v>
      </c>
      <c r="E61" s="2" t="s">
        <v>216</v>
      </c>
      <c r="F61" s="2" t="s">
        <v>123</v>
      </c>
      <c r="G61" s="2" t="s">
        <v>477</v>
      </c>
      <c r="H61" s="2">
        <v>0.29517046527976976</v>
      </c>
      <c r="M61" s="478" t="s">
        <v>471</v>
      </c>
      <c r="N61" s="479"/>
      <c r="O61" s="479">
        <v>158.93000000000004</v>
      </c>
      <c r="P61" s="479"/>
      <c r="Q61" s="479"/>
      <c r="R61" s="479"/>
      <c r="S61" s="479"/>
      <c r="T61" s="479"/>
      <c r="U61" s="479">
        <v>158.93000000000004</v>
      </c>
      <c r="V61"/>
    </row>
    <row r="62" spans="2:56" ht="15" x14ac:dyDescent="0.25">
      <c r="B62" s="2">
        <v>62</v>
      </c>
      <c r="C62" s="2" t="s">
        <v>213</v>
      </c>
      <c r="D62" s="2" t="s">
        <v>470</v>
      </c>
      <c r="E62" s="2" t="s">
        <v>136</v>
      </c>
      <c r="F62" s="2" t="s">
        <v>123</v>
      </c>
      <c r="G62" s="2" t="s">
        <v>477</v>
      </c>
      <c r="H62" s="2">
        <v>0.141154008391981</v>
      </c>
      <c r="M62" s="478" t="s">
        <v>469</v>
      </c>
      <c r="N62" s="479">
        <v>97.028000000000006</v>
      </c>
      <c r="O62" s="479">
        <v>4.91</v>
      </c>
      <c r="P62" s="479"/>
      <c r="Q62" s="479"/>
      <c r="R62" s="479"/>
      <c r="S62" s="479"/>
      <c r="T62" s="479"/>
      <c r="U62" s="479">
        <v>101.938</v>
      </c>
      <c r="V62"/>
    </row>
    <row r="63" spans="2:56" ht="15" x14ac:dyDescent="0.25">
      <c r="B63" s="2">
        <v>66</v>
      </c>
      <c r="C63" s="2" t="s">
        <v>219</v>
      </c>
      <c r="D63" s="2" t="s">
        <v>470</v>
      </c>
      <c r="E63" s="2" t="s">
        <v>216</v>
      </c>
      <c r="F63" s="2" t="s">
        <v>123</v>
      </c>
      <c r="G63" s="2" t="s">
        <v>477</v>
      </c>
      <c r="H63" s="2">
        <v>11.59</v>
      </c>
      <c r="M63" s="478" t="s">
        <v>472</v>
      </c>
      <c r="N63" s="479"/>
      <c r="O63" s="479">
        <v>4.608765</v>
      </c>
      <c r="P63" s="479"/>
      <c r="Q63" s="479"/>
      <c r="R63" s="479"/>
      <c r="S63" s="479"/>
      <c r="T63" s="479"/>
      <c r="U63" s="479">
        <v>4.608765</v>
      </c>
      <c r="V63"/>
    </row>
    <row r="64" spans="2:56" ht="15" x14ac:dyDescent="0.25">
      <c r="B64" s="2">
        <v>67</v>
      </c>
      <c r="C64" s="2" t="s">
        <v>220</v>
      </c>
      <c r="D64" s="2" t="s">
        <v>470</v>
      </c>
      <c r="E64" s="2" t="s">
        <v>216</v>
      </c>
      <c r="F64" s="2" t="s">
        <v>123</v>
      </c>
      <c r="G64" s="2" t="s">
        <v>477</v>
      </c>
      <c r="H64" s="2">
        <v>18.010000000000002</v>
      </c>
      <c r="M64" s="478" t="s">
        <v>391</v>
      </c>
      <c r="N64" s="479">
        <v>948.99199999999996</v>
      </c>
      <c r="O64" s="479"/>
      <c r="P64" s="479"/>
      <c r="Q64" s="479">
        <v>0.104</v>
      </c>
      <c r="R64" s="479">
        <v>5.2060000000000004</v>
      </c>
      <c r="S64" s="479">
        <v>4.4039999999999999</v>
      </c>
      <c r="T64" s="479"/>
      <c r="U64" s="479">
        <v>958.70600000000002</v>
      </c>
      <c r="V64"/>
    </row>
    <row r="65" spans="2:22" ht="15" x14ac:dyDescent="0.25">
      <c r="B65" s="2">
        <v>83</v>
      </c>
      <c r="C65" s="2" t="s">
        <v>242</v>
      </c>
      <c r="D65" s="2" t="s">
        <v>470</v>
      </c>
      <c r="E65" s="2" t="s">
        <v>216</v>
      </c>
      <c r="F65" s="2" t="s">
        <v>123</v>
      </c>
      <c r="G65" s="2" t="s">
        <v>477</v>
      </c>
      <c r="H65" s="2">
        <v>2.3857631001253807</v>
      </c>
      <c r="M65" s="478" t="s">
        <v>474</v>
      </c>
      <c r="N65" s="479">
        <v>4520.5870100000002</v>
      </c>
      <c r="O65" s="479">
        <v>1013.7302717630223</v>
      </c>
      <c r="P65" s="479">
        <v>656.48</v>
      </c>
      <c r="Q65" s="479">
        <v>13.31725</v>
      </c>
      <c r="R65" s="479">
        <v>5.2060000000000004</v>
      </c>
      <c r="S65" s="479">
        <v>96.314999999999998</v>
      </c>
      <c r="T65" s="479">
        <v>0.22500000000000001</v>
      </c>
      <c r="U65" s="479">
        <v>6305.8605317630218</v>
      </c>
      <c r="V65"/>
    </row>
    <row r="66" spans="2:22" x14ac:dyDescent="0.2">
      <c r="B66" s="2">
        <v>13</v>
      </c>
      <c r="C66" s="2" t="s">
        <v>317</v>
      </c>
      <c r="D66" s="2" t="s">
        <v>470</v>
      </c>
      <c r="E66" s="2" t="s">
        <v>136</v>
      </c>
      <c r="F66" s="2" t="s">
        <v>290</v>
      </c>
      <c r="G66" s="2" t="s">
        <v>477</v>
      </c>
      <c r="H66" s="2">
        <v>766.90886999999998</v>
      </c>
    </row>
    <row r="67" spans="2:22" x14ac:dyDescent="0.2">
      <c r="B67" s="2">
        <v>84</v>
      </c>
      <c r="C67" s="2" t="s">
        <v>244</v>
      </c>
      <c r="D67" s="2" t="s">
        <v>470</v>
      </c>
      <c r="E67" s="2" t="s">
        <v>216</v>
      </c>
      <c r="F67" s="2" t="s">
        <v>123</v>
      </c>
      <c r="G67" s="2" t="s">
        <v>477</v>
      </c>
      <c r="H67" s="2">
        <v>0.19253112159715813</v>
      </c>
    </row>
    <row r="68" spans="2:22" x14ac:dyDescent="0.2">
      <c r="B68" s="2">
        <v>45</v>
      </c>
      <c r="C68" s="2" t="s">
        <v>181</v>
      </c>
      <c r="D68" s="2" t="s">
        <v>470</v>
      </c>
      <c r="E68" s="2" t="s">
        <v>136</v>
      </c>
      <c r="F68" s="2" t="s">
        <v>123</v>
      </c>
      <c r="G68" s="2" t="s">
        <v>477</v>
      </c>
      <c r="H68" s="2">
        <v>7.46</v>
      </c>
    </row>
    <row r="69" spans="2:22" x14ac:dyDescent="0.2">
      <c r="B69" s="2">
        <v>68</v>
      </c>
      <c r="C69" s="2" t="s">
        <v>221</v>
      </c>
      <c r="D69" s="2" t="s">
        <v>470</v>
      </c>
      <c r="E69" s="2" t="s">
        <v>216</v>
      </c>
      <c r="F69" s="2" t="s">
        <v>123</v>
      </c>
      <c r="G69" s="2" t="s">
        <v>477</v>
      </c>
      <c r="H69" s="2">
        <v>10.09</v>
      </c>
    </row>
    <row r="70" spans="2:22" x14ac:dyDescent="0.2">
      <c r="B70" s="2">
        <v>85</v>
      </c>
      <c r="C70" s="2" t="s">
        <v>245</v>
      </c>
      <c r="D70" s="2" t="s">
        <v>470</v>
      </c>
      <c r="E70" s="2" t="s">
        <v>216</v>
      </c>
      <c r="F70" s="2" t="s">
        <v>123</v>
      </c>
      <c r="G70" s="2" t="s">
        <v>477</v>
      </c>
      <c r="H70" s="2">
        <v>0.28199999999999997</v>
      </c>
    </row>
    <row r="71" spans="2:22" x14ac:dyDescent="0.2">
      <c r="B71" s="2">
        <v>154</v>
      </c>
      <c r="C71" s="2" t="s">
        <v>399</v>
      </c>
      <c r="D71" s="2" t="s">
        <v>386</v>
      </c>
      <c r="E71" s="2" t="s">
        <v>401</v>
      </c>
      <c r="F71" s="2" t="s">
        <v>402</v>
      </c>
      <c r="G71" s="2" t="s">
        <v>467</v>
      </c>
      <c r="H71" s="2">
        <v>2.004</v>
      </c>
    </row>
    <row r="72" spans="2:22" x14ac:dyDescent="0.2">
      <c r="B72" s="2">
        <v>173</v>
      </c>
      <c r="C72" s="2" t="s">
        <v>444</v>
      </c>
      <c r="D72" s="2" t="s">
        <v>386</v>
      </c>
      <c r="E72" s="2" t="s">
        <v>401</v>
      </c>
      <c r="F72" s="2" t="s">
        <v>384</v>
      </c>
      <c r="G72" s="2" t="s">
        <v>467</v>
      </c>
      <c r="H72" s="2">
        <v>0.96879999999999999</v>
      </c>
    </row>
    <row r="73" spans="2:22" x14ac:dyDescent="0.2">
      <c r="B73" s="2">
        <v>146</v>
      </c>
      <c r="C73" s="2" t="s">
        <v>385</v>
      </c>
      <c r="D73" s="2" t="s">
        <v>386</v>
      </c>
      <c r="E73" s="2" t="s">
        <v>136</v>
      </c>
      <c r="F73" s="2" t="s">
        <v>384</v>
      </c>
      <c r="G73" s="2" t="s">
        <v>477</v>
      </c>
      <c r="H73" s="2">
        <v>0.99900000000000011</v>
      </c>
    </row>
    <row r="74" spans="2:22" x14ac:dyDescent="0.2">
      <c r="B74" s="2">
        <v>94</v>
      </c>
      <c r="C74" s="2" t="s">
        <v>259</v>
      </c>
      <c r="D74" s="2" t="s">
        <v>468</v>
      </c>
      <c r="E74" s="2" t="s">
        <v>253</v>
      </c>
      <c r="F74" s="2" t="s">
        <v>123</v>
      </c>
      <c r="G74" s="2" t="s">
        <v>477</v>
      </c>
      <c r="H74" s="2">
        <v>0.12740000000000001</v>
      </c>
    </row>
    <row r="75" spans="2:22" x14ac:dyDescent="0.2">
      <c r="B75" s="2">
        <v>31</v>
      </c>
      <c r="C75" s="2" t="s">
        <v>153</v>
      </c>
      <c r="D75" s="2" t="s">
        <v>468</v>
      </c>
      <c r="E75" s="2" t="s">
        <v>136</v>
      </c>
      <c r="F75" s="2" t="s">
        <v>123</v>
      </c>
      <c r="G75" s="2" t="s">
        <v>477</v>
      </c>
      <c r="H75" s="2">
        <v>13.32</v>
      </c>
    </row>
    <row r="76" spans="2:22" x14ac:dyDescent="0.2">
      <c r="B76" s="2">
        <v>157</v>
      </c>
      <c r="C76" s="2" t="s">
        <v>409</v>
      </c>
      <c r="D76" s="2" t="s">
        <v>468</v>
      </c>
      <c r="E76" s="2" t="s">
        <v>411</v>
      </c>
      <c r="F76" s="2" t="s">
        <v>402</v>
      </c>
      <c r="G76" s="2" t="s">
        <v>467</v>
      </c>
      <c r="H76" s="2">
        <v>3.7</v>
      </c>
    </row>
    <row r="77" spans="2:22" x14ac:dyDescent="0.2">
      <c r="B77" s="2">
        <v>28</v>
      </c>
      <c r="C77" s="2" t="s">
        <v>149</v>
      </c>
      <c r="D77" s="2" t="s">
        <v>468</v>
      </c>
      <c r="E77" s="2" t="s">
        <v>136</v>
      </c>
      <c r="F77" s="2" t="s">
        <v>123</v>
      </c>
      <c r="G77" s="2" t="s">
        <v>477</v>
      </c>
      <c r="H77" s="2">
        <v>8.4700000000000006</v>
      </c>
    </row>
    <row r="78" spans="2:22" x14ac:dyDescent="0.2">
      <c r="B78" s="2">
        <v>24</v>
      </c>
      <c r="C78" s="2" t="s">
        <v>143</v>
      </c>
      <c r="D78" s="2" t="s">
        <v>468</v>
      </c>
      <c r="E78" s="2" t="s">
        <v>136</v>
      </c>
      <c r="F78" s="2" t="s">
        <v>123</v>
      </c>
      <c r="G78" s="2" t="s">
        <v>477</v>
      </c>
      <c r="H78" s="2">
        <v>58.26</v>
      </c>
    </row>
    <row r="79" spans="2:22" x14ac:dyDescent="0.2">
      <c r="B79" s="2">
        <v>95</v>
      </c>
      <c r="C79" s="2" t="s">
        <v>260</v>
      </c>
      <c r="D79" s="2" t="s">
        <v>468</v>
      </c>
      <c r="E79" s="2" t="s">
        <v>253</v>
      </c>
      <c r="F79" s="2" t="s">
        <v>123</v>
      </c>
      <c r="G79" s="2" t="s">
        <v>477</v>
      </c>
      <c r="H79" s="2">
        <v>5.3899999999999997E-2</v>
      </c>
    </row>
    <row r="80" spans="2:22" x14ac:dyDescent="0.2">
      <c r="B80" s="2">
        <v>160</v>
      </c>
      <c r="C80" s="2" t="s">
        <v>418</v>
      </c>
      <c r="D80" s="2" t="s">
        <v>468</v>
      </c>
      <c r="E80" s="2" t="s">
        <v>411</v>
      </c>
      <c r="F80" s="2" t="s">
        <v>402</v>
      </c>
      <c r="G80" s="2" t="s">
        <v>467</v>
      </c>
      <c r="H80" s="2">
        <v>3</v>
      </c>
    </row>
    <row r="81" spans="2:8" x14ac:dyDescent="0.2">
      <c r="B81" s="2">
        <v>43</v>
      </c>
      <c r="C81" s="2" t="s">
        <v>178</v>
      </c>
      <c r="D81" s="2" t="s">
        <v>468</v>
      </c>
      <c r="E81" s="2" t="s">
        <v>136</v>
      </c>
      <c r="F81" s="2" t="s">
        <v>123</v>
      </c>
      <c r="G81" s="2" t="s">
        <v>477</v>
      </c>
      <c r="H81" s="2">
        <v>7.9</v>
      </c>
    </row>
    <row r="82" spans="2:8" x14ac:dyDescent="0.2">
      <c r="B82" s="2">
        <v>44</v>
      </c>
      <c r="C82" s="2" t="s">
        <v>179</v>
      </c>
      <c r="D82" s="2" t="s">
        <v>468</v>
      </c>
      <c r="E82" s="2" t="s">
        <v>136</v>
      </c>
      <c r="F82" s="2" t="s">
        <v>123</v>
      </c>
      <c r="G82" s="2" t="s">
        <v>477</v>
      </c>
      <c r="H82" s="2">
        <v>34.56</v>
      </c>
    </row>
    <row r="83" spans="2:8" x14ac:dyDescent="0.2">
      <c r="B83" s="2">
        <v>32</v>
      </c>
      <c r="C83" s="2" t="s">
        <v>156</v>
      </c>
      <c r="D83" s="2" t="s">
        <v>468</v>
      </c>
      <c r="E83" s="2" t="s">
        <v>136</v>
      </c>
      <c r="F83" s="2" t="s">
        <v>123</v>
      </c>
      <c r="G83" s="2" t="s">
        <v>477</v>
      </c>
      <c r="H83" s="2">
        <v>4.99</v>
      </c>
    </row>
    <row r="84" spans="2:8" x14ac:dyDescent="0.2">
      <c r="B84" s="2">
        <v>30</v>
      </c>
      <c r="C84" s="2" t="s">
        <v>151</v>
      </c>
      <c r="D84" s="2" t="s">
        <v>468</v>
      </c>
      <c r="E84" s="2" t="s">
        <v>136</v>
      </c>
      <c r="F84" s="2" t="s">
        <v>123</v>
      </c>
      <c r="G84" s="2" t="s">
        <v>477</v>
      </c>
      <c r="H84" s="2">
        <v>39.11</v>
      </c>
    </row>
    <row r="85" spans="2:8" x14ac:dyDescent="0.2">
      <c r="B85" s="2">
        <v>21</v>
      </c>
      <c r="C85" s="2" t="s">
        <v>137</v>
      </c>
      <c r="D85" s="2" t="s">
        <v>468</v>
      </c>
      <c r="E85" s="2" t="s">
        <v>136</v>
      </c>
      <c r="F85" s="2" t="s">
        <v>123</v>
      </c>
      <c r="G85" s="2" t="s">
        <v>477</v>
      </c>
      <c r="H85" s="2">
        <v>60.78</v>
      </c>
    </row>
    <row r="86" spans="2:8" x14ac:dyDescent="0.2">
      <c r="B86" s="2">
        <v>22</v>
      </c>
      <c r="C86" s="2" t="s">
        <v>138</v>
      </c>
      <c r="D86" s="2" t="s">
        <v>468</v>
      </c>
      <c r="E86" s="2" t="s">
        <v>136</v>
      </c>
      <c r="F86" s="2" t="s">
        <v>123</v>
      </c>
      <c r="G86" s="2" t="s">
        <v>477</v>
      </c>
      <c r="H86" s="2">
        <v>37.619999999999997</v>
      </c>
    </row>
    <row r="87" spans="2:8" x14ac:dyDescent="0.2">
      <c r="B87" s="2">
        <v>51</v>
      </c>
      <c r="C87" s="2" t="s">
        <v>190</v>
      </c>
      <c r="D87" s="2" t="s">
        <v>468</v>
      </c>
      <c r="E87" s="2" t="s">
        <v>192</v>
      </c>
      <c r="F87" s="2" t="s">
        <v>123</v>
      </c>
      <c r="G87" s="2" t="s">
        <v>477</v>
      </c>
      <c r="H87" s="2">
        <v>5.08</v>
      </c>
    </row>
    <row r="88" spans="2:8" x14ac:dyDescent="0.2">
      <c r="B88" s="2">
        <v>1</v>
      </c>
      <c r="C88" s="2" t="s">
        <v>287</v>
      </c>
      <c r="D88" s="2" t="s">
        <v>468</v>
      </c>
      <c r="E88" s="2" t="s">
        <v>288</v>
      </c>
      <c r="F88" s="2" t="s">
        <v>290</v>
      </c>
      <c r="G88" s="2" t="s">
        <v>477</v>
      </c>
      <c r="H88" s="2">
        <v>49.92</v>
      </c>
    </row>
    <row r="89" spans="2:8" x14ac:dyDescent="0.2">
      <c r="B89" s="2">
        <v>170</v>
      </c>
      <c r="C89" s="2" t="s">
        <v>435</v>
      </c>
      <c r="D89" s="2" t="s">
        <v>468</v>
      </c>
      <c r="E89" s="2" t="s">
        <v>401</v>
      </c>
      <c r="F89" s="2" t="s">
        <v>486</v>
      </c>
      <c r="G89" s="2" t="s">
        <v>467</v>
      </c>
      <c r="H89" s="2">
        <v>0.22500000000000001</v>
      </c>
    </row>
    <row r="90" spans="2:8" x14ac:dyDescent="0.2">
      <c r="B90" s="2">
        <v>42</v>
      </c>
      <c r="C90" s="2" t="s">
        <v>176</v>
      </c>
      <c r="D90" s="2" t="s">
        <v>468</v>
      </c>
      <c r="E90" s="2" t="s">
        <v>136</v>
      </c>
      <c r="F90" s="2" t="s">
        <v>123</v>
      </c>
      <c r="G90" s="2" t="s">
        <v>477</v>
      </c>
      <c r="H90" s="2">
        <v>2.4900000000000002</v>
      </c>
    </row>
    <row r="91" spans="2:8" x14ac:dyDescent="0.2">
      <c r="B91" s="2">
        <v>23</v>
      </c>
      <c r="C91" s="2" t="s">
        <v>140</v>
      </c>
      <c r="D91" s="2" t="s">
        <v>468</v>
      </c>
      <c r="E91" s="2" t="s">
        <v>136</v>
      </c>
      <c r="F91" s="2" t="s">
        <v>123</v>
      </c>
      <c r="G91" s="2" t="s">
        <v>477</v>
      </c>
      <c r="H91" s="2">
        <v>54.78</v>
      </c>
    </row>
    <row r="92" spans="2:8" x14ac:dyDescent="0.2">
      <c r="B92" s="2">
        <v>41</v>
      </c>
      <c r="C92" s="2" t="s">
        <v>174</v>
      </c>
      <c r="D92" s="2" t="s">
        <v>468</v>
      </c>
      <c r="E92" s="2" t="s">
        <v>136</v>
      </c>
      <c r="F92" s="2" t="s">
        <v>123</v>
      </c>
      <c r="G92" s="2" t="s">
        <v>477</v>
      </c>
      <c r="H92" s="2">
        <v>3</v>
      </c>
    </row>
    <row r="93" spans="2:8" x14ac:dyDescent="0.2">
      <c r="B93" s="2">
        <v>52</v>
      </c>
      <c r="C93" s="2" t="s">
        <v>193</v>
      </c>
      <c r="D93" s="2" t="s">
        <v>468</v>
      </c>
      <c r="E93" s="2" t="s">
        <v>192</v>
      </c>
      <c r="F93" s="2" t="s">
        <v>123</v>
      </c>
      <c r="G93" s="2" t="s">
        <v>477</v>
      </c>
      <c r="H93" s="2">
        <v>4.01</v>
      </c>
    </row>
    <row r="94" spans="2:8" x14ac:dyDescent="0.2">
      <c r="B94" s="2">
        <v>50</v>
      </c>
      <c r="C94" s="2" t="s">
        <v>188</v>
      </c>
      <c r="D94" s="2" t="s">
        <v>468</v>
      </c>
      <c r="E94" s="2" t="s">
        <v>136</v>
      </c>
      <c r="F94" s="2" t="s">
        <v>123</v>
      </c>
      <c r="G94" s="2" t="s">
        <v>477</v>
      </c>
      <c r="H94" s="2">
        <v>3.59</v>
      </c>
    </row>
    <row r="95" spans="2:8" x14ac:dyDescent="0.2">
      <c r="B95" s="2">
        <v>33</v>
      </c>
      <c r="C95" s="2" t="s">
        <v>159</v>
      </c>
      <c r="D95" s="2" t="s">
        <v>468</v>
      </c>
      <c r="E95" s="2" t="s">
        <v>136</v>
      </c>
      <c r="F95" s="2" t="s">
        <v>123</v>
      </c>
      <c r="G95" s="2" t="s">
        <v>477</v>
      </c>
      <c r="H95" s="2">
        <v>11.72</v>
      </c>
    </row>
    <row r="96" spans="2:8" x14ac:dyDescent="0.2">
      <c r="B96" s="2">
        <v>172</v>
      </c>
      <c r="C96" s="2" t="s">
        <v>442</v>
      </c>
      <c r="D96" s="2" t="s">
        <v>468</v>
      </c>
      <c r="E96" s="2" t="s">
        <v>401</v>
      </c>
      <c r="F96" s="2" t="s">
        <v>384</v>
      </c>
      <c r="G96" s="2" t="s">
        <v>467</v>
      </c>
      <c r="H96" s="2">
        <v>0.86480000000000001</v>
      </c>
    </row>
    <row r="97" spans="2:8" x14ac:dyDescent="0.2">
      <c r="B97" s="2">
        <v>174</v>
      </c>
      <c r="C97" s="2" t="s">
        <v>446</v>
      </c>
      <c r="D97" s="2" t="s">
        <v>468</v>
      </c>
      <c r="E97" s="2" t="s">
        <v>401</v>
      </c>
      <c r="F97" s="2" t="s">
        <v>384</v>
      </c>
      <c r="G97" s="2" t="s">
        <v>467</v>
      </c>
      <c r="H97" s="2">
        <v>1.3546499999999999</v>
      </c>
    </row>
    <row r="98" spans="2:8" x14ac:dyDescent="0.2">
      <c r="B98" s="2">
        <v>93</v>
      </c>
      <c r="C98" s="2" t="s">
        <v>257</v>
      </c>
      <c r="D98" s="2" t="s">
        <v>468</v>
      </c>
      <c r="E98" s="2" t="s">
        <v>253</v>
      </c>
      <c r="F98" s="2" t="s">
        <v>123</v>
      </c>
      <c r="G98" s="2" t="s">
        <v>477</v>
      </c>
      <c r="H98" s="2">
        <v>0.1176</v>
      </c>
    </row>
    <row r="99" spans="2:8" x14ac:dyDescent="0.2">
      <c r="B99" s="2">
        <v>86</v>
      </c>
      <c r="C99" s="2" t="s">
        <v>246</v>
      </c>
      <c r="D99" s="2" t="s">
        <v>468</v>
      </c>
      <c r="E99" s="2" t="s">
        <v>136</v>
      </c>
      <c r="F99" s="2" t="s">
        <v>123</v>
      </c>
      <c r="G99" s="2" t="s">
        <v>477</v>
      </c>
      <c r="H99" s="2">
        <v>4.2380000000000004</v>
      </c>
    </row>
    <row r="100" spans="2:8" x14ac:dyDescent="0.2">
      <c r="B100" s="2">
        <v>25</v>
      </c>
      <c r="C100" s="2" t="s">
        <v>145</v>
      </c>
      <c r="D100" s="2" t="s">
        <v>468</v>
      </c>
      <c r="E100" s="2" t="s">
        <v>136</v>
      </c>
      <c r="F100" s="2" t="s">
        <v>123</v>
      </c>
      <c r="G100" s="2" t="s">
        <v>477</v>
      </c>
      <c r="H100" s="2">
        <v>2.02</v>
      </c>
    </row>
    <row r="101" spans="2:8" x14ac:dyDescent="0.2">
      <c r="B101" s="2">
        <v>34</v>
      </c>
      <c r="C101" s="2" t="s">
        <v>161</v>
      </c>
      <c r="D101" s="2" t="s">
        <v>468</v>
      </c>
      <c r="E101" s="2" t="s">
        <v>136</v>
      </c>
      <c r="F101" s="2" t="s">
        <v>123</v>
      </c>
      <c r="G101" s="2" t="s">
        <v>477</v>
      </c>
      <c r="H101" s="2">
        <v>22.81</v>
      </c>
    </row>
    <row r="102" spans="2:8" x14ac:dyDescent="0.2">
      <c r="B102" s="2">
        <v>6</v>
      </c>
      <c r="C102" s="2" t="s">
        <v>304</v>
      </c>
      <c r="D102" s="2" t="s">
        <v>468</v>
      </c>
      <c r="E102" s="2" t="s">
        <v>136</v>
      </c>
      <c r="F102" s="2" t="s">
        <v>290</v>
      </c>
      <c r="G102" s="2" t="s">
        <v>477</v>
      </c>
      <c r="H102" s="2">
        <v>51.002400000000002</v>
      </c>
    </row>
    <row r="103" spans="2:8" x14ac:dyDescent="0.2">
      <c r="B103" s="2">
        <v>10</v>
      </c>
      <c r="C103" s="2" t="s">
        <v>312</v>
      </c>
      <c r="D103" s="2" t="s">
        <v>468</v>
      </c>
      <c r="E103" s="2" t="s">
        <v>136</v>
      </c>
      <c r="F103" s="2" t="s">
        <v>290</v>
      </c>
      <c r="G103" s="2" t="s">
        <v>477</v>
      </c>
      <c r="H103" s="2">
        <v>52.891500000000001</v>
      </c>
    </row>
    <row r="104" spans="2:8" x14ac:dyDescent="0.2">
      <c r="B104" s="2">
        <v>20</v>
      </c>
      <c r="C104" s="2" t="s">
        <v>133</v>
      </c>
      <c r="D104" s="2" t="s">
        <v>468</v>
      </c>
      <c r="E104" s="2" t="s">
        <v>136</v>
      </c>
      <c r="F104" s="2" t="s">
        <v>123</v>
      </c>
      <c r="G104" s="2" t="s">
        <v>477</v>
      </c>
      <c r="H104" s="2">
        <v>51.48</v>
      </c>
    </row>
    <row r="105" spans="2:8" x14ac:dyDescent="0.2">
      <c r="B105" s="2">
        <v>96</v>
      </c>
      <c r="C105" s="2" t="s">
        <v>261</v>
      </c>
      <c r="D105" s="2" t="s">
        <v>468</v>
      </c>
      <c r="E105" s="2" t="s">
        <v>253</v>
      </c>
      <c r="F105" s="2" t="s">
        <v>123</v>
      </c>
      <c r="G105" s="2" t="s">
        <v>477</v>
      </c>
      <c r="H105" s="2">
        <v>0.21364</v>
      </c>
    </row>
    <row r="106" spans="2:8" x14ac:dyDescent="0.2">
      <c r="B106" s="2">
        <v>98</v>
      </c>
      <c r="C106" s="2" t="s">
        <v>263</v>
      </c>
      <c r="D106" s="2" t="s">
        <v>468</v>
      </c>
      <c r="E106" s="2" t="s">
        <v>253</v>
      </c>
      <c r="F106" s="2" t="s">
        <v>123</v>
      </c>
      <c r="G106" s="2" t="s">
        <v>477</v>
      </c>
      <c r="H106" s="2">
        <v>5.6056000000000002E-2</v>
      </c>
    </row>
    <row r="107" spans="2:8" x14ac:dyDescent="0.2">
      <c r="B107" s="2">
        <v>27</v>
      </c>
      <c r="C107" s="2" t="s">
        <v>148</v>
      </c>
      <c r="D107" s="2" t="s">
        <v>468</v>
      </c>
      <c r="E107" s="2" t="s">
        <v>136</v>
      </c>
      <c r="F107" s="2" t="s">
        <v>123</v>
      </c>
      <c r="G107" s="2" t="s">
        <v>477</v>
      </c>
      <c r="H107" s="2">
        <v>32.35</v>
      </c>
    </row>
    <row r="108" spans="2:8" x14ac:dyDescent="0.2">
      <c r="B108" s="2">
        <v>29</v>
      </c>
      <c r="C108" s="2" t="s">
        <v>150</v>
      </c>
      <c r="D108" s="2" t="s">
        <v>468</v>
      </c>
      <c r="E108" s="2" t="s">
        <v>136</v>
      </c>
      <c r="F108" s="2" t="s">
        <v>123</v>
      </c>
      <c r="G108" s="2" t="s">
        <v>477</v>
      </c>
      <c r="H108" s="2">
        <v>147</v>
      </c>
    </row>
    <row r="109" spans="2:8" x14ac:dyDescent="0.2">
      <c r="B109" s="2">
        <v>26</v>
      </c>
      <c r="C109" s="2" t="s">
        <v>147</v>
      </c>
      <c r="D109" s="2" t="s">
        <v>468</v>
      </c>
      <c r="E109" s="2" t="s">
        <v>136</v>
      </c>
      <c r="F109" s="2" t="s">
        <v>123</v>
      </c>
      <c r="G109" s="2" t="s">
        <v>477</v>
      </c>
      <c r="H109" s="2">
        <v>10.79</v>
      </c>
    </row>
    <row r="110" spans="2:8" x14ac:dyDescent="0.2">
      <c r="B110" s="2">
        <v>120</v>
      </c>
      <c r="C110" s="2" t="s">
        <v>351</v>
      </c>
      <c r="D110" s="2" t="s">
        <v>352</v>
      </c>
      <c r="E110" s="2" t="s">
        <v>335</v>
      </c>
      <c r="F110" s="2" t="s">
        <v>334</v>
      </c>
      <c r="G110" s="2" t="s">
        <v>477</v>
      </c>
      <c r="H110" s="2">
        <v>34</v>
      </c>
    </row>
    <row r="111" spans="2:8" x14ac:dyDescent="0.2">
      <c r="B111" s="2">
        <v>152</v>
      </c>
      <c r="C111" s="2" t="s">
        <v>395</v>
      </c>
      <c r="D111" s="2" t="s">
        <v>352</v>
      </c>
      <c r="E111" s="2" t="s">
        <v>335</v>
      </c>
      <c r="F111" s="2" t="s">
        <v>384</v>
      </c>
      <c r="G111" s="2" t="s">
        <v>477</v>
      </c>
      <c r="H111" s="2">
        <v>1</v>
      </c>
    </row>
    <row r="112" spans="2:8" x14ac:dyDescent="0.2">
      <c r="B112" s="2">
        <v>130</v>
      </c>
      <c r="C112" s="2" t="s">
        <v>365</v>
      </c>
      <c r="D112" s="2" t="s">
        <v>352</v>
      </c>
      <c r="E112" s="2" t="s">
        <v>335</v>
      </c>
      <c r="F112" s="2" t="s">
        <v>334</v>
      </c>
      <c r="G112" s="2" t="s">
        <v>477</v>
      </c>
      <c r="H112" s="2">
        <v>15.84</v>
      </c>
    </row>
    <row r="113" spans="2:8" x14ac:dyDescent="0.2">
      <c r="B113" s="2">
        <v>54</v>
      </c>
      <c r="C113" s="2" t="s">
        <v>197</v>
      </c>
      <c r="D113" s="2" t="s">
        <v>388</v>
      </c>
      <c r="E113" s="2" t="s">
        <v>136</v>
      </c>
      <c r="F113" s="2" t="s">
        <v>123</v>
      </c>
      <c r="G113" s="2" t="s">
        <v>477</v>
      </c>
      <c r="H113" s="2">
        <v>2.645179341724512</v>
      </c>
    </row>
    <row r="114" spans="2:8" x14ac:dyDescent="0.2">
      <c r="B114" s="2">
        <v>159</v>
      </c>
      <c r="C114" s="2" t="s">
        <v>417</v>
      </c>
      <c r="D114" s="2" t="s">
        <v>388</v>
      </c>
      <c r="E114" s="2" t="s">
        <v>411</v>
      </c>
      <c r="F114" s="2" t="s">
        <v>402</v>
      </c>
      <c r="G114" s="2" t="s">
        <v>467</v>
      </c>
      <c r="H114" s="2">
        <v>6</v>
      </c>
    </row>
    <row r="115" spans="2:8" x14ac:dyDescent="0.2">
      <c r="B115" s="2">
        <v>35</v>
      </c>
      <c r="C115" s="2" t="s">
        <v>163</v>
      </c>
      <c r="D115" s="2" t="s">
        <v>388</v>
      </c>
      <c r="E115" s="2" t="s">
        <v>136</v>
      </c>
      <c r="F115" s="2" t="s">
        <v>123</v>
      </c>
      <c r="G115" s="2" t="s">
        <v>477</v>
      </c>
      <c r="H115" s="2">
        <v>20.81</v>
      </c>
    </row>
    <row r="116" spans="2:8" x14ac:dyDescent="0.2">
      <c r="B116" s="2">
        <v>55</v>
      </c>
      <c r="C116" s="2" t="s">
        <v>199</v>
      </c>
      <c r="D116" s="2" t="s">
        <v>388</v>
      </c>
      <c r="E116" s="2" t="s">
        <v>136</v>
      </c>
      <c r="F116" s="2" t="s">
        <v>123</v>
      </c>
      <c r="G116" s="2" t="s">
        <v>477</v>
      </c>
      <c r="H116" s="2">
        <v>2.9043184709883332</v>
      </c>
    </row>
    <row r="117" spans="2:8" x14ac:dyDescent="0.2">
      <c r="B117" s="2">
        <v>99</v>
      </c>
      <c r="C117" s="2" t="s">
        <v>264</v>
      </c>
      <c r="D117" s="2" t="s">
        <v>388</v>
      </c>
      <c r="E117" s="2" t="s">
        <v>253</v>
      </c>
      <c r="F117" s="2" t="s">
        <v>123</v>
      </c>
      <c r="G117" s="2" t="s">
        <v>477</v>
      </c>
      <c r="H117" s="2">
        <v>0.21559999999999999</v>
      </c>
    </row>
    <row r="118" spans="2:8" x14ac:dyDescent="0.2">
      <c r="B118" s="2">
        <v>101</v>
      </c>
      <c r="C118" s="2" t="s">
        <v>266</v>
      </c>
      <c r="D118" s="2" t="s">
        <v>388</v>
      </c>
      <c r="E118" s="2" t="s">
        <v>253</v>
      </c>
      <c r="F118" s="2" t="s">
        <v>123</v>
      </c>
      <c r="G118" s="2" t="s">
        <v>477</v>
      </c>
      <c r="H118" s="2">
        <v>0.83104</v>
      </c>
    </row>
    <row r="119" spans="2:8" x14ac:dyDescent="0.2">
      <c r="B119" s="2">
        <v>100</v>
      </c>
      <c r="C119" s="2" t="s">
        <v>265</v>
      </c>
      <c r="D119" s="2" t="s">
        <v>388</v>
      </c>
      <c r="E119" s="2" t="s">
        <v>253</v>
      </c>
      <c r="F119" s="2" t="s">
        <v>123</v>
      </c>
      <c r="G119" s="2" t="s">
        <v>477</v>
      </c>
      <c r="H119" s="2">
        <v>0.1666</v>
      </c>
    </row>
    <row r="120" spans="2:8" x14ac:dyDescent="0.2">
      <c r="B120" s="2">
        <v>97</v>
      </c>
      <c r="C120" s="2" t="s">
        <v>262</v>
      </c>
      <c r="D120" s="2" t="s">
        <v>388</v>
      </c>
      <c r="E120" s="2" t="s">
        <v>253</v>
      </c>
      <c r="F120" s="2" t="s">
        <v>123</v>
      </c>
      <c r="G120" s="2" t="s">
        <v>477</v>
      </c>
      <c r="H120" s="2">
        <v>5.3213999999999997E-2</v>
      </c>
    </row>
    <row r="121" spans="2:8" x14ac:dyDescent="0.2">
      <c r="B121" s="2">
        <v>56</v>
      </c>
      <c r="C121" s="2" t="s">
        <v>201</v>
      </c>
      <c r="D121" s="2" t="s">
        <v>388</v>
      </c>
      <c r="E121" s="2" t="s">
        <v>136</v>
      </c>
      <c r="F121" s="2" t="s">
        <v>123</v>
      </c>
      <c r="G121" s="2" t="s">
        <v>477</v>
      </c>
      <c r="H121" s="2">
        <v>0.34458015757488691</v>
      </c>
    </row>
    <row r="122" spans="2:8" x14ac:dyDescent="0.2">
      <c r="B122" s="2">
        <v>57</v>
      </c>
      <c r="C122" s="2" t="s">
        <v>202</v>
      </c>
      <c r="D122" s="2" t="s">
        <v>388</v>
      </c>
      <c r="E122" s="2" t="s">
        <v>136</v>
      </c>
      <c r="F122" s="2" t="s">
        <v>123</v>
      </c>
      <c r="G122" s="2" t="s">
        <v>477</v>
      </c>
      <c r="H122" s="2">
        <v>2.8247723366396995</v>
      </c>
    </row>
    <row r="123" spans="2:8" x14ac:dyDescent="0.2">
      <c r="B123" s="2">
        <v>90</v>
      </c>
      <c r="C123" s="2" t="s">
        <v>254</v>
      </c>
      <c r="D123" s="2" t="s">
        <v>388</v>
      </c>
      <c r="E123" s="2" t="s">
        <v>253</v>
      </c>
      <c r="F123" s="2" t="s">
        <v>123</v>
      </c>
      <c r="G123" s="2" t="s">
        <v>477</v>
      </c>
      <c r="H123" s="2">
        <v>0.441</v>
      </c>
    </row>
    <row r="124" spans="2:8" x14ac:dyDescent="0.2">
      <c r="B124" s="2">
        <v>58</v>
      </c>
      <c r="C124" s="2" t="s">
        <v>205</v>
      </c>
      <c r="D124" s="2" t="s">
        <v>388</v>
      </c>
      <c r="E124" s="2" t="s">
        <v>136</v>
      </c>
      <c r="F124" s="2" t="s">
        <v>123</v>
      </c>
      <c r="G124" s="2" t="s">
        <v>477</v>
      </c>
      <c r="H124" s="2">
        <v>0.34458015757488691</v>
      </c>
    </row>
    <row r="125" spans="2:8" x14ac:dyDescent="0.2">
      <c r="B125" s="2">
        <v>2</v>
      </c>
      <c r="C125" s="2" t="s">
        <v>293</v>
      </c>
      <c r="D125" s="2" t="s">
        <v>388</v>
      </c>
      <c r="E125" s="2" t="s">
        <v>295</v>
      </c>
      <c r="F125" s="2" t="s">
        <v>290</v>
      </c>
      <c r="G125" s="2" t="s">
        <v>477</v>
      </c>
      <c r="H125" s="2">
        <v>145.04</v>
      </c>
    </row>
    <row r="126" spans="2:8" x14ac:dyDescent="0.2">
      <c r="B126" s="2">
        <v>171</v>
      </c>
      <c r="C126" s="2" t="s">
        <v>438</v>
      </c>
      <c r="D126" s="2" t="s">
        <v>388</v>
      </c>
      <c r="E126" s="2" t="s">
        <v>411</v>
      </c>
      <c r="F126" s="2" t="s">
        <v>123</v>
      </c>
      <c r="G126" s="2" t="s">
        <v>467</v>
      </c>
      <c r="H126" s="2">
        <v>1.5</v>
      </c>
    </row>
    <row r="127" spans="2:8" x14ac:dyDescent="0.2">
      <c r="B127" s="2">
        <v>92</v>
      </c>
      <c r="C127" s="2" t="s">
        <v>256</v>
      </c>
      <c r="D127" s="2" t="s">
        <v>388</v>
      </c>
      <c r="E127" s="2" t="s">
        <v>253</v>
      </c>
      <c r="F127" s="2" t="s">
        <v>123</v>
      </c>
      <c r="G127" s="2" t="s">
        <v>477</v>
      </c>
      <c r="H127" s="2">
        <v>0.13720000000000002</v>
      </c>
    </row>
    <row r="128" spans="2:8" x14ac:dyDescent="0.2">
      <c r="B128" s="2">
        <v>89</v>
      </c>
      <c r="C128" s="2" t="s">
        <v>251</v>
      </c>
      <c r="D128" s="2" t="s">
        <v>388</v>
      </c>
      <c r="E128" s="2" t="s">
        <v>253</v>
      </c>
      <c r="F128" s="2" t="s">
        <v>123</v>
      </c>
      <c r="G128" s="2" t="s">
        <v>477</v>
      </c>
      <c r="H128" s="2">
        <v>0.14209999999999998</v>
      </c>
    </row>
    <row r="129" spans="2:8" x14ac:dyDescent="0.2">
      <c r="B129" s="2">
        <v>60</v>
      </c>
      <c r="C129" s="2" t="s">
        <v>210</v>
      </c>
      <c r="D129" s="2" t="s">
        <v>388</v>
      </c>
      <c r="E129" s="2" t="s">
        <v>136</v>
      </c>
      <c r="F129" s="2" t="s">
        <v>123</v>
      </c>
      <c r="G129" s="2" t="s">
        <v>477</v>
      </c>
      <c r="H129" s="2">
        <v>3.4092079924961896</v>
      </c>
    </row>
    <row r="130" spans="2:8" x14ac:dyDescent="0.2">
      <c r="B130" s="2">
        <v>88</v>
      </c>
      <c r="C130" s="2" t="s">
        <v>249</v>
      </c>
      <c r="D130" s="2" t="s">
        <v>388</v>
      </c>
      <c r="E130" s="2" t="s">
        <v>136</v>
      </c>
      <c r="F130" s="2" t="s">
        <v>123</v>
      </c>
      <c r="G130" s="2" t="s">
        <v>477</v>
      </c>
      <c r="H130" s="2">
        <v>0.17</v>
      </c>
    </row>
    <row r="131" spans="2:8" x14ac:dyDescent="0.2">
      <c r="B131" s="2">
        <v>61</v>
      </c>
      <c r="C131" s="2" t="s">
        <v>212</v>
      </c>
      <c r="D131" s="2" t="s">
        <v>388</v>
      </c>
      <c r="E131" s="2" t="s">
        <v>136</v>
      </c>
      <c r="F131" s="2" t="s">
        <v>123</v>
      </c>
      <c r="G131" s="2" t="s">
        <v>477</v>
      </c>
      <c r="H131" s="2">
        <v>1.4275463670959603</v>
      </c>
    </row>
    <row r="132" spans="2:8" x14ac:dyDescent="0.2">
      <c r="B132" s="2">
        <v>147</v>
      </c>
      <c r="C132" s="2" t="s">
        <v>387</v>
      </c>
      <c r="D132" s="2" t="s">
        <v>388</v>
      </c>
      <c r="E132" s="2" t="s">
        <v>136</v>
      </c>
      <c r="F132" s="2" t="s">
        <v>384</v>
      </c>
      <c r="G132" s="2" t="s">
        <v>477</v>
      </c>
      <c r="H132" s="2">
        <v>0.34399999999999997</v>
      </c>
    </row>
    <row r="133" spans="2:8" x14ac:dyDescent="0.2">
      <c r="B133" s="2">
        <v>148</v>
      </c>
      <c r="C133" s="2" t="s">
        <v>389</v>
      </c>
      <c r="D133" s="2" t="s">
        <v>388</v>
      </c>
      <c r="E133" s="2" t="s">
        <v>136</v>
      </c>
      <c r="F133" s="2" t="s">
        <v>384</v>
      </c>
      <c r="G133" s="2" t="s">
        <v>477</v>
      </c>
      <c r="H133" s="2">
        <v>0.38400000000000001</v>
      </c>
    </row>
    <row r="134" spans="2:8" x14ac:dyDescent="0.2">
      <c r="B134" s="2">
        <v>151</v>
      </c>
      <c r="C134" s="2" t="s">
        <v>394</v>
      </c>
      <c r="D134" s="2" t="s">
        <v>388</v>
      </c>
      <c r="E134" s="2" t="s">
        <v>335</v>
      </c>
      <c r="F134" s="2" t="s">
        <v>384</v>
      </c>
      <c r="G134" s="2" t="s">
        <v>477</v>
      </c>
      <c r="H134" s="2">
        <v>1</v>
      </c>
    </row>
    <row r="135" spans="2:8" x14ac:dyDescent="0.2">
      <c r="B135" s="2">
        <v>150</v>
      </c>
      <c r="C135" s="2" t="s">
        <v>393</v>
      </c>
      <c r="D135" s="2" t="s">
        <v>388</v>
      </c>
      <c r="E135" s="2" t="s">
        <v>335</v>
      </c>
      <c r="F135" s="2" t="s">
        <v>384</v>
      </c>
      <c r="G135" s="2" t="s">
        <v>477</v>
      </c>
      <c r="H135" s="2">
        <v>3</v>
      </c>
    </row>
    <row r="136" spans="2:8" x14ac:dyDescent="0.2">
      <c r="B136" s="2">
        <v>53</v>
      </c>
      <c r="C136" s="2" t="s">
        <v>194</v>
      </c>
      <c r="D136" s="2" t="s">
        <v>388</v>
      </c>
      <c r="E136" s="2" t="s">
        <v>192</v>
      </c>
      <c r="F136" s="2" t="s">
        <v>123</v>
      </c>
      <c r="G136" s="2" t="s">
        <v>477</v>
      </c>
      <c r="H136" s="2">
        <v>8.67</v>
      </c>
    </row>
    <row r="137" spans="2:8" x14ac:dyDescent="0.2">
      <c r="B137" s="2">
        <v>36</v>
      </c>
      <c r="C137" s="2" t="s">
        <v>165</v>
      </c>
      <c r="D137" s="2" t="s">
        <v>388</v>
      </c>
      <c r="E137" s="2" t="s">
        <v>136</v>
      </c>
      <c r="F137" s="2" t="s">
        <v>123</v>
      </c>
      <c r="G137" s="2" t="s">
        <v>477</v>
      </c>
      <c r="H137" s="2">
        <v>2.21</v>
      </c>
    </row>
    <row r="138" spans="2:8" x14ac:dyDescent="0.2">
      <c r="B138" s="2">
        <v>37</v>
      </c>
      <c r="C138" s="2" t="s">
        <v>166</v>
      </c>
      <c r="D138" s="2" t="s">
        <v>388</v>
      </c>
      <c r="E138" s="2" t="s">
        <v>136</v>
      </c>
      <c r="F138" s="2" t="s">
        <v>123</v>
      </c>
      <c r="G138" s="2" t="s">
        <v>477</v>
      </c>
      <c r="H138" s="2">
        <v>5.27</v>
      </c>
    </row>
    <row r="139" spans="2:8" x14ac:dyDescent="0.2">
      <c r="B139" s="2">
        <v>102</v>
      </c>
      <c r="C139" s="2" t="s">
        <v>267</v>
      </c>
      <c r="D139" s="2" t="s">
        <v>388</v>
      </c>
      <c r="E139" s="2" t="s">
        <v>268</v>
      </c>
      <c r="F139" s="2" t="s">
        <v>123</v>
      </c>
      <c r="G139" s="2" t="s">
        <v>477</v>
      </c>
      <c r="H139" s="2">
        <v>0.67620000000000002</v>
      </c>
    </row>
    <row r="140" spans="2:8" x14ac:dyDescent="0.2">
      <c r="B140" s="2">
        <v>168</v>
      </c>
      <c r="C140" s="2" t="s">
        <v>432</v>
      </c>
      <c r="D140" s="2" t="s">
        <v>388</v>
      </c>
      <c r="E140" s="2" t="s">
        <v>411</v>
      </c>
      <c r="F140" s="2" t="s">
        <v>402</v>
      </c>
      <c r="G140" s="2" t="s">
        <v>467</v>
      </c>
      <c r="H140" s="2">
        <v>10</v>
      </c>
    </row>
    <row r="141" spans="2:8" x14ac:dyDescent="0.2">
      <c r="B141" s="2">
        <v>87</v>
      </c>
      <c r="C141" s="2" t="s">
        <v>248</v>
      </c>
      <c r="D141" s="2" t="s">
        <v>388</v>
      </c>
      <c r="E141" s="2" t="s">
        <v>136</v>
      </c>
      <c r="F141" s="2" t="s">
        <v>123</v>
      </c>
      <c r="G141" s="2" t="s">
        <v>477</v>
      </c>
      <c r="H141" s="2">
        <v>4.758</v>
      </c>
    </row>
    <row r="142" spans="2:8" x14ac:dyDescent="0.2">
      <c r="B142" s="2">
        <v>91</v>
      </c>
      <c r="C142" s="2" t="s">
        <v>255</v>
      </c>
      <c r="D142" s="2" t="s">
        <v>388</v>
      </c>
      <c r="E142" s="2" t="s">
        <v>253</v>
      </c>
      <c r="F142" s="2" t="s">
        <v>123</v>
      </c>
      <c r="G142" s="2" t="s">
        <v>477</v>
      </c>
      <c r="H142" s="2">
        <v>0.17640000000000003</v>
      </c>
    </row>
    <row r="143" spans="2:8" x14ac:dyDescent="0.2">
      <c r="B143" s="2">
        <v>11</v>
      </c>
      <c r="C143" s="2" t="s">
        <v>313</v>
      </c>
      <c r="D143" s="2" t="s">
        <v>338</v>
      </c>
      <c r="E143" s="2" t="s">
        <v>136</v>
      </c>
      <c r="F143" s="2" t="s">
        <v>290</v>
      </c>
      <c r="G143" s="2" t="s">
        <v>477</v>
      </c>
      <c r="H143" s="2">
        <v>369.08784000000003</v>
      </c>
    </row>
    <row r="144" spans="2:8" x14ac:dyDescent="0.2">
      <c r="B144" s="2">
        <v>108</v>
      </c>
      <c r="C144" s="2" t="s">
        <v>337</v>
      </c>
      <c r="D144" s="2" t="s">
        <v>338</v>
      </c>
      <c r="E144" s="2" t="s">
        <v>335</v>
      </c>
      <c r="F144" s="2" t="s">
        <v>334</v>
      </c>
      <c r="G144" s="2" t="s">
        <v>477</v>
      </c>
      <c r="H144" s="2">
        <v>2.6</v>
      </c>
    </row>
    <row r="145" spans="2:8" x14ac:dyDescent="0.2">
      <c r="B145" s="2">
        <v>112</v>
      </c>
      <c r="C145" s="2" t="s">
        <v>343</v>
      </c>
      <c r="D145" s="2" t="s">
        <v>338</v>
      </c>
      <c r="E145" s="2" t="s">
        <v>335</v>
      </c>
      <c r="F145" s="2" t="s">
        <v>334</v>
      </c>
      <c r="G145" s="2" t="s">
        <v>477</v>
      </c>
      <c r="H145" s="2">
        <v>3.15</v>
      </c>
    </row>
    <row r="146" spans="2:8" x14ac:dyDescent="0.2">
      <c r="B146" s="2">
        <v>113</v>
      </c>
      <c r="C146" s="2" t="s">
        <v>344</v>
      </c>
      <c r="D146" s="2" t="s">
        <v>338</v>
      </c>
      <c r="E146" s="2" t="s">
        <v>335</v>
      </c>
      <c r="F146" s="2" t="s">
        <v>334</v>
      </c>
      <c r="G146" s="2" t="s">
        <v>477</v>
      </c>
      <c r="H146" s="2">
        <v>4.2</v>
      </c>
    </row>
    <row r="147" spans="2:8" x14ac:dyDescent="0.2">
      <c r="B147" s="2">
        <v>115</v>
      </c>
      <c r="C147" s="2" t="s">
        <v>346</v>
      </c>
      <c r="D147" s="2" t="s">
        <v>338</v>
      </c>
      <c r="E147" s="2" t="s">
        <v>335</v>
      </c>
      <c r="F147" s="2" t="s">
        <v>334</v>
      </c>
      <c r="G147" s="2" t="s">
        <v>477</v>
      </c>
      <c r="H147" s="2">
        <v>12</v>
      </c>
    </row>
    <row r="148" spans="2:8" x14ac:dyDescent="0.2">
      <c r="B148" s="2">
        <v>114</v>
      </c>
      <c r="C148" s="2" t="s">
        <v>345</v>
      </c>
      <c r="D148" s="2" t="s">
        <v>338</v>
      </c>
      <c r="E148" s="2" t="s">
        <v>335</v>
      </c>
      <c r="F148" s="2" t="s">
        <v>334</v>
      </c>
      <c r="G148" s="2" t="s">
        <v>477</v>
      </c>
      <c r="H148" s="2">
        <v>14.4</v>
      </c>
    </row>
    <row r="149" spans="2:8" x14ac:dyDescent="0.2">
      <c r="B149" s="2">
        <v>128</v>
      </c>
      <c r="C149" s="2" t="s">
        <v>363</v>
      </c>
      <c r="D149" s="2" t="s">
        <v>338</v>
      </c>
      <c r="E149" s="2" t="s">
        <v>335</v>
      </c>
      <c r="F149" s="2" t="s">
        <v>334</v>
      </c>
      <c r="G149" s="2" t="s">
        <v>477</v>
      </c>
      <c r="H149" s="2">
        <v>18</v>
      </c>
    </row>
    <row r="150" spans="2:8" x14ac:dyDescent="0.2">
      <c r="B150" s="2">
        <v>129</v>
      </c>
      <c r="C150" s="2" t="s">
        <v>364</v>
      </c>
      <c r="D150" s="2" t="s">
        <v>338</v>
      </c>
      <c r="E150" s="2" t="s">
        <v>335</v>
      </c>
      <c r="F150" s="2" t="s">
        <v>334</v>
      </c>
      <c r="G150" s="2" t="s">
        <v>477</v>
      </c>
      <c r="H150" s="2">
        <v>38</v>
      </c>
    </row>
    <row r="151" spans="2:8" x14ac:dyDescent="0.2">
      <c r="B151" s="2">
        <v>132</v>
      </c>
      <c r="C151" s="2" t="s">
        <v>367</v>
      </c>
      <c r="D151" s="2" t="s">
        <v>338</v>
      </c>
      <c r="E151" s="2" t="s">
        <v>335</v>
      </c>
      <c r="F151" s="2" t="s">
        <v>334</v>
      </c>
      <c r="G151" s="2" t="s">
        <v>477</v>
      </c>
      <c r="H151" s="2">
        <v>5.25</v>
      </c>
    </row>
    <row r="152" spans="2:8" x14ac:dyDescent="0.2">
      <c r="B152" s="2">
        <v>139</v>
      </c>
      <c r="C152" s="2" t="s">
        <v>375</v>
      </c>
      <c r="D152" s="2" t="s">
        <v>338</v>
      </c>
      <c r="E152" s="2" t="s">
        <v>335</v>
      </c>
      <c r="F152" s="2" t="s">
        <v>334</v>
      </c>
      <c r="G152" s="2" t="s">
        <v>477</v>
      </c>
      <c r="H152" s="2">
        <v>12.5</v>
      </c>
    </row>
    <row r="153" spans="2:8" x14ac:dyDescent="0.2">
      <c r="B153" s="2">
        <v>143</v>
      </c>
      <c r="C153" s="2" t="s">
        <v>380</v>
      </c>
      <c r="D153" s="2" t="s">
        <v>338</v>
      </c>
      <c r="E153" s="2" t="s">
        <v>335</v>
      </c>
      <c r="F153" s="2" t="s">
        <v>334</v>
      </c>
      <c r="G153" s="2" t="s">
        <v>477</v>
      </c>
      <c r="H153" s="2">
        <v>11.4</v>
      </c>
    </row>
    <row r="154" spans="2:8" x14ac:dyDescent="0.2">
      <c r="B154" s="2">
        <v>144</v>
      </c>
      <c r="C154" s="2" t="s">
        <v>381</v>
      </c>
      <c r="D154" s="2" t="s">
        <v>338</v>
      </c>
      <c r="E154" s="2" t="s">
        <v>335</v>
      </c>
      <c r="F154" s="2" t="s">
        <v>334</v>
      </c>
      <c r="G154" s="2" t="s">
        <v>477</v>
      </c>
      <c r="H154" s="2">
        <v>13.08</v>
      </c>
    </row>
    <row r="155" spans="2:8" x14ac:dyDescent="0.2">
      <c r="B155" s="2">
        <v>121</v>
      </c>
      <c r="C155" s="2" t="s">
        <v>353</v>
      </c>
      <c r="D155" s="2" t="s">
        <v>354</v>
      </c>
      <c r="E155" s="2" t="s">
        <v>335</v>
      </c>
      <c r="F155" s="2" t="s">
        <v>334</v>
      </c>
      <c r="G155" s="2" t="s">
        <v>477</v>
      </c>
      <c r="H155" s="2">
        <v>15</v>
      </c>
    </row>
    <row r="156" spans="2:8" x14ac:dyDescent="0.2">
      <c r="B156" s="2">
        <v>124</v>
      </c>
      <c r="C156" s="2" t="s">
        <v>358</v>
      </c>
      <c r="D156" s="2" t="s">
        <v>354</v>
      </c>
      <c r="E156" s="2" t="s">
        <v>335</v>
      </c>
      <c r="F156" s="2" t="s">
        <v>334</v>
      </c>
      <c r="G156" s="2" t="s">
        <v>477</v>
      </c>
      <c r="H156" s="2">
        <v>30</v>
      </c>
    </row>
    <row r="157" spans="2:8" x14ac:dyDescent="0.2">
      <c r="B157" s="2">
        <v>127</v>
      </c>
      <c r="C157" s="2" t="s">
        <v>361</v>
      </c>
      <c r="D157" s="2" t="s">
        <v>362</v>
      </c>
      <c r="E157" s="2" t="s">
        <v>335</v>
      </c>
      <c r="F157" s="2" t="s">
        <v>334</v>
      </c>
      <c r="G157" s="2" t="s">
        <v>477</v>
      </c>
      <c r="H157" s="2">
        <v>1.8</v>
      </c>
    </row>
    <row r="158" spans="2:8" x14ac:dyDescent="0.2">
      <c r="B158" s="2">
        <v>4</v>
      </c>
      <c r="C158" s="2" t="s">
        <v>298</v>
      </c>
      <c r="D158" s="2" t="s">
        <v>362</v>
      </c>
      <c r="E158" s="2" t="s">
        <v>136</v>
      </c>
      <c r="F158" s="2" t="s">
        <v>290</v>
      </c>
      <c r="G158" s="2" t="s">
        <v>477</v>
      </c>
      <c r="H158" s="2">
        <v>136.77000000000001</v>
      </c>
    </row>
    <row r="159" spans="2:8" x14ac:dyDescent="0.2">
      <c r="B159" s="2">
        <v>38</v>
      </c>
      <c r="C159" s="2" t="s">
        <v>168</v>
      </c>
      <c r="D159" s="2" t="s">
        <v>362</v>
      </c>
      <c r="E159" s="2" t="s">
        <v>136</v>
      </c>
      <c r="F159" s="2" t="s">
        <v>123</v>
      </c>
      <c r="G159" s="2" t="s">
        <v>477</v>
      </c>
      <c r="H159" s="2">
        <v>1.76</v>
      </c>
    </row>
    <row r="160" spans="2:8" x14ac:dyDescent="0.2">
      <c r="B160" s="2">
        <v>167</v>
      </c>
      <c r="C160" s="2" t="s">
        <v>431</v>
      </c>
      <c r="D160" s="2" t="s">
        <v>362</v>
      </c>
      <c r="E160" s="2" t="s">
        <v>411</v>
      </c>
      <c r="F160" s="2" t="s">
        <v>402</v>
      </c>
      <c r="G160" s="2" t="s">
        <v>467</v>
      </c>
      <c r="H160" s="2">
        <v>12.5</v>
      </c>
    </row>
    <row r="161" spans="2:8" x14ac:dyDescent="0.2">
      <c r="B161" s="2">
        <v>39</v>
      </c>
      <c r="C161" s="2" t="s">
        <v>170</v>
      </c>
      <c r="D161" s="2" t="s">
        <v>362</v>
      </c>
      <c r="E161" s="2" t="s">
        <v>136</v>
      </c>
      <c r="F161" s="2" t="s">
        <v>123</v>
      </c>
      <c r="G161" s="2" t="s">
        <v>477</v>
      </c>
      <c r="H161" s="2">
        <v>26.11</v>
      </c>
    </row>
    <row r="162" spans="2:8" x14ac:dyDescent="0.2">
      <c r="B162" s="2">
        <v>18</v>
      </c>
      <c r="C162" s="2" t="s">
        <v>129</v>
      </c>
      <c r="D162" s="2" t="s">
        <v>471</v>
      </c>
      <c r="E162" s="2" t="s">
        <v>121</v>
      </c>
      <c r="F162" s="2" t="s">
        <v>123</v>
      </c>
      <c r="G162" s="2" t="s">
        <v>477</v>
      </c>
      <c r="H162" s="2">
        <v>53.2</v>
      </c>
    </row>
    <row r="163" spans="2:8" x14ac:dyDescent="0.2">
      <c r="B163" s="2">
        <v>17</v>
      </c>
      <c r="C163" s="2" t="s">
        <v>128</v>
      </c>
      <c r="D163" s="2" t="s">
        <v>471</v>
      </c>
      <c r="E163" s="2" t="s">
        <v>121</v>
      </c>
      <c r="F163" s="2" t="s">
        <v>123</v>
      </c>
      <c r="G163" s="2" t="s">
        <v>477</v>
      </c>
      <c r="H163" s="2">
        <v>0.53</v>
      </c>
    </row>
    <row r="164" spans="2:8" x14ac:dyDescent="0.2">
      <c r="B164" s="2">
        <v>19</v>
      </c>
      <c r="C164" s="2" t="s">
        <v>131</v>
      </c>
      <c r="D164" s="2" t="s">
        <v>471</v>
      </c>
      <c r="E164" s="2" t="s">
        <v>121</v>
      </c>
      <c r="F164" s="2" t="s">
        <v>123</v>
      </c>
      <c r="G164" s="2" t="s">
        <v>477</v>
      </c>
      <c r="H164" s="2">
        <v>7.58</v>
      </c>
    </row>
    <row r="165" spans="2:8" x14ac:dyDescent="0.2">
      <c r="B165" s="2">
        <v>15</v>
      </c>
      <c r="C165" s="2" t="s">
        <v>119</v>
      </c>
      <c r="D165" s="2" t="s">
        <v>471</v>
      </c>
      <c r="E165" s="2" t="s">
        <v>121</v>
      </c>
      <c r="F165" s="2" t="s">
        <v>123</v>
      </c>
      <c r="G165" s="2" t="s">
        <v>477</v>
      </c>
      <c r="H165" s="2">
        <v>3.67</v>
      </c>
    </row>
    <row r="166" spans="2:8" x14ac:dyDescent="0.2">
      <c r="B166" s="2">
        <v>16</v>
      </c>
      <c r="C166" s="2" t="s">
        <v>126</v>
      </c>
      <c r="D166" s="2" t="s">
        <v>471</v>
      </c>
      <c r="E166" s="2" t="s">
        <v>121</v>
      </c>
      <c r="F166" s="2" t="s">
        <v>123</v>
      </c>
      <c r="G166" s="2" t="s">
        <v>477</v>
      </c>
      <c r="H166" s="2">
        <v>93.95</v>
      </c>
    </row>
    <row r="167" spans="2:8" x14ac:dyDescent="0.2">
      <c r="B167" s="2">
        <v>40</v>
      </c>
      <c r="C167" s="2" t="s">
        <v>172</v>
      </c>
      <c r="D167" s="2" t="s">
        <v>469</v>
      </c>
      <c r="E167" s="2" t="s">
        <v>136</v>
      </c>
      <c r="F167" s="2" t="s">
        <v>123</v>
      </c>
      <c r="G167" s="2" t="s">
        <v>477</v>
      </c>
      <c r="H167" s="2">
        <v>4.91</v>
      </c>
    </row>
    <row r="168" spans="2:8" x14ac:dyDescent="0.2">
      <c r="B168" s="2">
        <v>9</v>
      </c>
      <c r="C168" s="2" t="s">
        <v>311</v>
      </c>
      <c r="D168" s="2" t="s">
        <v>469</v>
      </c>
      <c r="E168" s="2" t="s">
        <v>136</v>
      </c>
      <c r="F168" s="2" t="s">
        <v>290</v>
      </c>
      <c r="G168" s="2" t="s">
        <v>477</v>
      </c>
      <c r="H168" s="2">
        <v>97.028000000000006</v>
      </c>
    </row>
    <row r="169" spans="2:8" x14ac:dyDescent="0.2">
      <c r="B169" s="2">
        <v>103</v>
      </c>
      <c r="C169" s="2" t="s">
        <v>269</v>
      </c>
      <c r="D169" s="2" t="s">
        <v>472</v>
      </c>
      <c r="E169" s="2" t="s">
        <v>271</v>
      </c>
      <c r="F169" s="2" t="s">
        <v>123</v>
      </c>
      <c r="G169" s="2" t="s">
        <v>477</v>
      </c>
      <c r="H169" s="2">
        <v>0.96321000000000001</v>
      </c>
    </row>
    <row r="170" spans="2:8" x14ac:dyDescent="0.2">
      <c r="B170" s="2">
        <v>104</v>
      </c>
      <c r="C170" s="2" t="s">
        <v>272</v>
      </c>
      <c r="D170" s="2" t="s">
        <v>472</v>
      </c>
      <c r="E170" s="2" t="s">
        <v>273</v>
      </c>
      <c r="F170" s="2" t="s">
        <v>123</v>
      </c>
      <c r="G170" s="2" t="s">
        <v>477</v>
      </c>
      <c r="H170" s="2">
        <v>2.7117050000000003</v>
      </c>
    </row>
    <row r="171" spans="2:8" x14ac:dyDescent="0.2">
      <c r="B171" s="2">
        <v>105</v>
      </c>
      <c r="C171" s="2" t="s">
        <v>274</v>
      </c>
      <c r="D171" s="2" t="s">
        <v>472</v>
      </c>
      <c r="E171" s="2" t="s">
        <v>273</v>
      </c>
      <c r="F171" s="2" t="s">
        <v>123</v>
      </c>
      <c r="G171" s="2" t="s">
        <v>477</v>
      </c>
      <c r="H171" s="2">
        <v>0.93384999999999996</v>
      </c>
    </row>
    <row r="172" spans="2:8" x14ac:dyDescent="0.2">
      <c r="B172" s="2">
        <v>153</v>
      </c>
      <c r="C172" s="2" t="s">
        <v>396</v>
      </c>
      <c r="D172" s="2" t="s">
        <v>391</v>
      </c>
      <c r="E172" s="2" t="s">
        <v>392</v>
      </c>
      <c r="F172" s="2" t="s">
        <v>397</v>
      </c>
      <c r="G172" s="2" t="s">
        <v>477</v>
      </c>
      <c r="H172" s="2">
        <v>5.2060000000000004</v>
      </c>
    </row>
    <row r="173" spans="2:8" x14ac:dyDescent="0.2">
      <c r="B173" s="2">
        <v>7</v>
      </c>
      <c r="C173" s="2" t="s">
        <v>306</v>
      </c>
      <c r="D173" s="2" t="s">
        <v>391</v>
      </c>
      <c r="E173" s="2" t="s">
        <v>136</v>
      </c>
      <c r="F173" s="2" t="s">
        <v>290</v>
      </c>
      <c r="G173" s="2" t="s">
        <v>477</v>
      </c>
      <c r="H173" s="2">
        <v>229.68</v>
      </c>
    </row>
    <row r="174" spans="2:8" x14ac:dyDescent="0.2">
      <c r="B174" s="2">
        <v>8</v>
      </c>
      <c r="C174" s="2" t="s">
        <v>309</v>
      </c>
      <c r="D174" s="2" t="s">
        <v>391</v>
      </c>
      <c r="E174" s="2" t="s">
        <v>136</v>
      </c>
      <c r="F174" s="2" t="s">
        <v>290</v>
      </c>
      <c r="G174" s="2" t="s">
        <v>477</v>
      </c>
      <c r="H174" s="2">
        <v>719.31200000000001</v>
      </c>
    </row>
    <row r="175" spans="2:8" x14ac:dyDescent="0.2">
      <c r="B175" s="2">
        <v>149</v>
      </c>
      <c r="C175" s="2" t="s">
        <v>390</v>
      </c>
      <c r="D175" s="2" t="s">
        <v>391</v>
      </c>
      <c r="E175" s="2" t="s">
        <v>392</v>
      </c>
      <c r="F175" s="2" t="s">
        <v>384</v>
      </c>
      <c r="G175" s="2" t="s">
        <v>477</v>
      </c>
      <c r="H175" s="2">
        <v>0.104</v>
      </c>
    </row>
    <row r="176" spans="2:8" x14ac:dyDescent="0.2">
      <c r="B176" s="2">
        <v>156</v>
      </c>
      <c r="C176" s="2" t="s">
        <v>407</v>
      </c>
      <c r="D176" s="2" t="s">
        <v>391</v>
      </c>
      <c r="E176" s="2" t="s">
        <v>401</v>
      </c>
      <c r="F176" s="2" t="s">
        <v>402</v>
      </c>
      <c r="G176" s="2" t="s">
        <v>467</v>
      </c>
      <c r="H176" s="2">
        <v>4.4039999999999999</v>
      </c>
    </row>
  </sheetData>
  <pageMargins left="0.7" right="0.7" top="0.75" bottom="0.75" header="0.3" footer="0.3"/>
  <pageSetup paperSize="9" orientation="portrait" r:id="rId3"/>
  <tableParts count="2">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605C9-2791-4FAB-A026-8EC862BE03EF}">
  <sheetPr>
    <tabColor theme="5" tint="0.59999389629810485"/>
  </sheetPr>
  <dimension ref="A1:O74"/>
  <sheetViews>
    <sheetView showGridLines="0" topLeftCell="A37" workbookViewId="0">
      <selection activeCell="I35" sqref="I35"/>
    </sheetView>
  </sheetViews>
  <sheetFormatPr defaultColWidth="9.140625" defaultRowHeight="14.25" x14ac:dyDescent="0.2"/>
  <cols>
    <col min="1" max="1" width="9.140625" style="15"/>
    <col min="2" max="2" width="8.85546875" style="15" bestFit="1" customWidth="1"/>
    <col min="3" max="3" width="10.85546875" style="15" bestFit="1" customWidth="1"/>
    <col min="4" max="4" width="14.140625" style="15" bestFit="1" customWidth="1"/>
    <col min="5" max="5" width="17.5703125" style="15" bestFit="1" customWidth="1"/>
    <col min="6" max="7" width="9.140625" style="15"/>
    <col min="8" max="8" width="18.28515625" style="15" bestFit="1" customWidth="1"/>
    <col min="9" max="9" width="21.140625" style="15" bestFit="1" customWidth="1"/>
    <col min="10" max="10" width="18.28515625" style="15" bestFit="1" customWidth="1"/>
    <col min="11" max="11" width="11.28515625" style="15" bestFit="1" customWidth="1"/>
    <col min="12" max="12" width="21" style="15" bestFit="1" customWidth="1"/>
    <col min="13" max="13" width="7.7109375" style="15" bestFit="1" customWidth="1"/>
    <col min="14" max="15" width="18.28515625" style="15" bestFit="1" customWidth="1"/>
    <col min="16" max="16384" width="9.140625" style="15"/>
  </cols>
  <sheetData>
    <row r="1" spans="1:12" ht="15" x14ac:dyDescent="0.25">
      <c r="B1" s="15" t="s">
        <v>861</v>
      </c>
      <c r="H1"/>
      <c r="I1"/>
    </row>
    <row r="2" spans="1:12" ht="15" x14ac:dyDescent="0.25">
      <c r="B2" s="15" t="s">
        <v>480</v>
      </c>
      <c r="C2" s="15" t="s">
        <v>497</v>
      </c>
      <c r="D2" s="15" t="s">
        <v>482</v>
      </c>
      <c r="E2" s="15" t="s">
        <v>465</v>
      </c>
      <c r="G2" s="15" t="s">
        <v>862</v>
      </c>
      <c r="H2"/>
      <c r="I2"/>
      <c r="J2"/>
      <c r="K2"/>
      <c r="L2"/>
    </row>
    <row r="3" spans="1:12" x14ac:dyDescent="0.2">
      <c r="B3" s="15">
        <v>2015</v>
      </c>
      <c r="C3" s="15">
        <v>6529</v>
      </c>
      <c r="D3" s="15" t="s">
        <v>483</v>
      </c>
      <c r="E3" s="15" t="s">
        <v>498</v>
      </c>
      <c r="H3" s="476" t="s">
        <v>505</v>
      </c>
      <c r="I3" s="476" t="s">
        <v>475</v>
      </c>
      <c r="J3" s="477"/>
      <c r="K3" s="477"/>
      <c r="L3" s="477"/>
    </row>
    <row r="4" spans="1:12" x14ac:dyDescent="0.2">
      <c r="B4" s="15">
        <v>2015</v>
      </c>
      <c r="C4" s="15">
        <v>276</v>
      </c>
      <c r="D4" s="15" t="s">
        <v>483</v>
      </c>
      <c r="E4" s="15" t="s">
        <v>912</v>
      </c>
      <c r="H4" s="476" t="s">
        <v>473</v>
      </c>
      <c r="I4" s="477" t="s">
        <v>483</v>
      </c>
      <c r="J4" s="477" t="s">
        <v>503</v>
      </c>
      <c r="K4" s="477" t="s">
        <v>504</v>
      </c>
      <c r="L4" s="477" t="s">
        <v>474</v>
      </c>
    </row>
    <row r="5" spans="1:12" x14ac:dyDescent="0.2">
      <c r="B5" s="15">
        <v>2015</v>
      </c>
      <c r="C5" s="15">
        <v>252</v>
      </c>
      <c r="D5" s="15" t="s">
        <v>483</v>
      </c>
      <c r="E5" s="15" t="s">
        <v>499</v>
      </c>
      <c r="H5" s="478">
        <v>2015</v>
      </c>
      <c r="I5" s="479">
        <v>6529</v>
      </c>
      <c r="J5" s="479">
        <v>5512</v>
      </c>
      <c r="K5" s="479">
        <v>-728</v>
      </c>
      <c r="L5" s="479">
        <v>11313</v>
      </c>
    </row>
    <row r="6" spans="1:12" x14ac:dyDescent="0.2">
      <c r="B6" s="15">
        <v>2015</v>
      </c>
      <c r="C6" s="15">
        <v>-977</v>
      </c>
      <c r="D6" s="15" t="s">
        <v>483</v>
      </c>
      <c r="E6" s="15" t="s">
        <v>500</v>
      </c>
      <c r="H6" s="478">
        <v>2016</v>
      </c>
      <c r="I6" s="479">
        <v>5682</v>
      </c>
      <c r="J6" s="479">
        <v>6031</v>
      </c>
      <c r="K6" s="479">
        <v>-679</v>
      </c>
      <c r="L6" s="479">
        <v>11034</v>
      </c>
    </row>
    <row r="7" spans="1:12" x14ac:dyDescent="0.2">
      <c r="B7" s="15">
        <v>2015</v>
      </c>
      <c r="C7" s="15">
        <v>5672</v>
      </c>
      <c r="D7" s="15" t="s">
        <v>483</v>
      </c>
      <c r="E7" s="15" t="s">
        <v>501</v>
      </c>
      <c r="H7" s="478">
        <v>2017</v>
      </c>
      <c r="I7" s="479">
        <v>3970</v>
      </c>
      <c r="J7" s="479">
        <v>5592</v>
      </c>
      <c r="K7" s="479">
        <v>-779</v>
      </c>
      <c r="L7" s="479">
        <v>8783</v>
      </c>
    </row>
    <row r="8" spans="1:12" x14ac:dyDescent="0.2">
      <c r="B8" s="15">
        <v>2015</v>
      </c>
      <c r="C8" s="15">
        <v>43</v>
      </c>
      <c r="D8" s="15" t="s">
        <v>483</v>
      </c>
      <c r="E8" s="15" t="s">
        <v>502</v>
      </c>
      <c r="H8" s="478">
        <v>2018</v>
      </c>
      <c r="I8" s="479">
        <v>3768</v>
      </c>
      <c r="J8" s="479">
        <v>6098</v>
      </c>
      <c r="K8" s="479">
        <v>-707</v>
      </c>
      <c r="L8" s="479">
        <v>9159</v>
      </c>
    </row>
    <row r="9" spans="1:12" x14ac:dyDescent="0.2">
      <c r="B9" s="15">
        <v>2015</v>
      </c>
      <c r="C9" s="15">
        <v>5512</v>
      </c>
      <c r="D9" s="15" t="s">
        <v>503</v>
      </c>
      <c r="E9" s="15" t="s">
        <v>498</v>
      </c>
      <c r="H9" s="478" t="s">
        <v>474</v>
      </c>
      <c r="I9" s="479">
        <v>19949</v>
      </c>
      <c r="J9" s="479">
        <v>23233</v>
      </c>
      <c r="K9" s="479">
        <v>-2893</v>
      </c>
      <c r="L9" s="479">
        <v>40289</v>
      </c>
    </row>
    <row r="10" spans="1:12" x14ac:dyDescent="0.2">
      <c r="B10" s="15">
        <v>2015</v>
      </c>
      <c r="C10" s="15">
        <v>1079</v>
      </c>
      <c r="D10" s="15" t="s">
        <v>503</v>
      </c>
      <c r="E10" s="15" t="s">
        <v>912</v>
      </c>
    </row>
    <row r="11" spans="1:12" x14ac:dyDescent="0.2">
      <c r="B11" s="15">
        <v>2015</v>
      </c>
      <c r="C11" s="15">
        <v>401</v>
      </c>
      <c r="D11" s="15" t="s">
        <v>503</v>
      </c>
      <c r="E11" s="15" t="s">
        <v>499</v>
      </c>
    </row>
    <row r="12" spans="1:12" x14ac:dyDescent="0.2">
      <c r="B12" s="15">
        <v>2015</v>
      </c>
      <c r="C12" s="15">
        <v>306</v>
      </c>
      <c r="D12" s="15" t="s">
        <v>503</v>
      </c>
      <c r="E12" s="15" t="s">
        <v>500</v>
      </c>
    </row>
    <row r="13" spans="1:12" x14ac:dyDescent="0.2">
      <c r="B13" s="15">
        <v>2015</v>
      </c>
      <c r="C13" s="15">
        <v>6861</v>
      </c>
      <c r="D13" s="15" t="s">
        <v>503</v>
      </c>
      <c r="E13" s="15" t="s">
        <v>501</v>
      </c>
    </row>
    <row r="14" spans="1:12" x14ac:dyDescent="0.2">
      <c r="B14" s="15">
        <v>2015</v>
      </c>
      <c r="C14" s="15">
        <v>479</v>
      </c>
      <c r="D14" s="15" t="s">
        <v>503</v>
      </c>
      <c r="E14" s="15" t="s">
        <v>502</v>
      </c>
    </row>
    <row r="15" spans="1:12" x14ac:dyDescent="0.2">
      <c r="A15" s="553"/>
      <c r="B15" s="15">
        <v>2015</v>
      </c>
      <c r="C15" s="15">
        <f>49-777</f>
        <v>-728</v>
      </c>
      <c r="D15" s="15" t="s">
        <v>504</v>
      </c>
      <c r="E15" s="15" t="s">
        <v>498</v>
      </c>
    </row>
    <row r="16" spans="1:12" x14ac:dyDescent="0.2">
      <c r="B16" s="15">
        <v>2015</v>
      </c>
      <c r="C16" s="15">
        <v>-94</v>
      </c>
      <c r="D16" s="15" t="s">
        <v>504</v>
      </c>
      <c r="E16" s="15" t="s">
        <v>912</v>
      </c>
      <c r="H16" s="15" t="s">
        <v>863</v>
      </c>
    </row>
    <row r="17" spans="1:15" ht="15" x14ac:dyDescent="0.25">
      <c r="B17" s="15">
        <v>2015</v>
      </c>
      <c r="C17" s="15">
        <v>7</v>
      </c>
      <c r="D17" s="15" t="s">
        <v>504</v>
      </c>
      <c r="E17" s="15" t="s">
        <v>499</v>
      </c>
      <c r="H17" s="23" t="s">
        <v>508</v>
      </c>
      <c r="I17" s="23" t="s">
        <v>475</v>
      </c>
      <c r="J17"/>
      <c r="K17"/>
      <c r="L17"/>
      <c r="M17"/>
      <c r="N17"/>
      <c r="O17"/>
    </row>
    <row r="18" spans="1:15" ht="15" x14ac:dyDescent="0.25">
      <c r="B18" s="15">
        <v>2015</v>
      </c>
      <c r="C18" s="15">
        <v>-124</v>
      </c>
      <c r="D18" s="15" t="s">
        <v>504</v>
      </c>
      <c r="E18" s="15" t="s">
        <v>500</v>
      </c>
      <c r="H18" s="23" t="s">
        <v>473</v>
      </c>
      <c r="I18">
        <v>2018</v>
      </c>
      <c r="J18" t="s">
        <v>474</v>
      </c>
      <c r="K18"/>
      <c r="L18"/>
      <c r="M18"/>
      <c r="N18"/>
      <c r="O18"/>
    </row>
    <row r="19" spans="1:15" ht="15" x14ac:dyDescent="0.25">
      <c r="A19" s="553"/>
      <c r="B19" s="15">
        <v>2015</v>
      </c>
      <c r="C19" s="15">
        <f>3445-3408</f>
        <v>37</v>
      </c>
      <c r="D19" s="15" t="s">
        <v>504</v>
      </c>
      <c r="E19" s="15" t="s">
        <v>501</v>
      </c>
      <c r="H19" s="24" t="s">
        <v>483</v>
      </c>
      <c r="I19" s="25">
        <v>3768</v>
      </c>
      <c r="J19" s="25">
        <v>3768</v>
      </c>
      <c r="K19"/>
      <c r="L19"/>
      <c r="M19"/>
      <c r="N19"/>
      <c r="O19"/>
    </row>
    <row r="20" spans="1:15" ht="15" x14ac:dyDescent="0.25">
      <c r="B20" s="15">
        <v>2015</v>
      </c>
      <c r="C20" s="15">
        <v>6</v>
      </c>
      <c r="D20" s="15" t="s">
        <v>504</v>
      </c>
      <c r="E20" s="15" t="s">
        <v>502</v>
      </c>
      <c r="H20" s="24" t="s">
        <v>503</v>
      </c>
      <c r="I20" s="25">
        <v>6098</v>
      </c>
      <c r="J20" s="25">
        <v>6098</v>
      </c>
      <c r="K20"/>
      <c r="L20"/>
      <c r="M20"/>
      <c r="N20"/>
      <c r="O20"/>
    </row>
    <row r="21" spans="1:15" ht="15" x14ac:dyDescent="0.25">
      <c r="B21" s="15">
        <v>2016</v>
      </c>
      <c r="C21" s="15">
        <v>5682</v>
      </c>
      <c r="D21" s="15" t="s">
        <v>483</v>
      </c>
      <c r="E21" s="15" t="s">
        <v>498</v>
      </c>
      <c r="H21" s="24" t="s">
        <v>504</v>
      </c>
      <c r="I21" s="25">
        <v>-707</v>
      </c>
      <c r="J21" s="25">
        <v>-707</v>
      </c>
      <c r="K21"/>
      <c r="L21"/>
      <c r="M21"/>
      <c r="N21"/>
      <c r="O21"/>
    </row>
    <row r="22" spans="1:15" ht="15" x14ac:dyDescent="0.25">
      <c r="B22" s="15">
        <v>2016</v>
      </c>
      <c r="C22" s="15">
        <v>242</v>
      </c>
      <c r="D22" s="15" t="s">
        <v>483</v>
      </c>
      <c r="E22" s="15" t="s">
        <v>912</v>
      </c>
      <c r="H22" s="24" t="s">
        <v>474</v>
      </c>
      <c r="I22" s="25">
        <v>9159</v>
      </c>
      <c r="J22" s="25">
        <v>9159</v>
      </c>
      <c r="K22"/>
      <c r="L22"/>
      <c r="M22"/>
      <c r="N22"/>
      <c r="O22"/>
    </row>
    <row r="23" spans="1:15" ht="15" x14ac:dyDescent="0.25">
      <c r="B23" s="15">
        <v>2016</v>
      </c>
      <c r="C23" s="15">
        <v>211</v>
      </c>
      <c r="D23" s="15" t="s">
        <v>483</v>
      </c>
      <c r="E23" s="15" t="s">
        <v>499</v>
      </c>
      <c r="H23"/>
      <c r="I23"/>
      <c r="J23"/>
      <c r="K23"/>
      <c r="L23"/>
      <c r="M23"/>
      <c r="N23"/>
      <c r="O23"/>
    </row>
    <row r="24" spans="1:15" ht="15" x14ac:dyDescent="0.25">
      <c r="B24" s="15">
        <v>2016</v>
      </c>
      <c r="C24" s="15">
        <v>184</v>
      </c>
      <c r="D24" s="15" t="s">
        <v>483</v>
      </c>
      <c r="E24" s="15" t="s">
        <v>500</v>
      </c>
      <c r="H24"/>
      <c r="I24"/>
      <c r="J24"/>
      <c r="K24"/>
      <c r="L24"/>
      <c r="M24"/>
      <c r="N24"/>
      <c r="O24"/>
    </row>
    <row r="25" spans="1:15" ht="15" x14ac:dyDescent="0.25">
      <c r="B25" s="15">
        <v>2016</v>
      </c>
      <c r="C25" s="15">
        <v>6243</v>
      </c>
      <c r="D25" s="15" t="s">
        <v>483</v>
      </c>
      <c r="E25" s="15" t="s">
        <v>501</v>
      </c>
      <c r="H25"/>
      <c r="I25"/>
      <c r="J25"/>
      <c r="K25"/>
      <c r="L25"/>
      <c r="M25"/>
      <c r="N25"/>
    </row>
    <row r="26" spans="1:15" ht="15" x14ac:dyDescent="0.25">
      <c r="B26" s="15">
        <v>2016</v>
      </c>
      <c r="C26" s="15">
        <v>107</v>
      </c>
      <c r="D26" s="15" t="s">
        <v>483</v>
      </c>
      <c r="E26" s="15" t="s">
        <v>502</v>
      </c>
      <c r="H26"/>
      <c r="I26"/>
      <c r="J26"/>
    </row>
    <row r="27" spans="1:15" ht="15" x14ac:dyDescent="0.25">
      <c r="B27" s="15">
        <v>2016</v>
      </c>
      <c r="C27" s="15">
        <v>6031</v>
      </c>
      <c r="D27" s="15" t="s">
        <v>503</v>
      </c>
      <c r="E27" s="15" t="s">
        <v>498</v>
      </c>
      <c r="H27"/>
      <c r="I27"/>
      <c r="J27"/>
    </row>
    <row r="28" spans="1:15" ht="15" x14ac:dyDescent="0.25">
      <c r="B28" s="15">
        <v>2016</v>
      </c>
      <c r="C28" s="15">
        <v>505</v>
      </c>
      <c r="D28" s="15" t="s">
        <v>503</v>
      </c>
      <c r="E28" s="15" t="s">
        <v>912</v>
      </c>
      <c r="H28"/>
      <c r="I28"/>
      <c r="J28"/>
    </row>
    <row r="29" spans="1:15" ht="15" x14ac:dyDescent="0.25">
      <c r="B29" s="15">
        <v>2016</v>
      </c>
      <c r="C29" s="15">
        <v>259</v>
      </c>
      <c r="D29" s="15" t="s">
        <v>503</v>
      </c>
      <c r="E29" s="15" t="s">
        <v>499</v>
      </c>
      <c r="H29"/>
      <c r="I29"/>
      <c r="J29"/>
    </row>
    <row r="30" spans="1:15" ht="15" x14ac:dyDescent="0.25">
      <c r="B30" s="15">
        <v>2016</v>
      </c>
      <c r="C30" s="15">
        <v>-329</v>
      </c>
      <c r="D30" s="15" t="s">
        <v>503</v>
      </c>
      <c r="E30" s="15" t="s">
        <v>500</v>
      </c>
      <c r="H30"/>
      <c r="I30"/>
      <c r="J30"/>
    </row>
    <row r="31" spans="1:15" ht="15" x14ac:dyDescent="0.25">
      <c r="B31" s="15">
        <v>2016</v>
      </c>
      <c r="C31" s="15">
        <v>5242</v>
      </c>
      <c r="D31" s="15" t="s">
        <v>503</v>
      </c>
      <c r="E31" s="15" t="s">
        <v>501</v>
      </c>
      <c r="H31"/>
      <c r="I31"/>
      <c r="J31"/>
    </row>
    <row r="32" spans="1:15" ht="15" x14ac:dyDescent="0.25">
      <c r="B32" s="15">
        <v>2016</v>
      </c>
      <c r="C32" s="15">
        <v>292</v>
      </c>
      <c r="D32" s="15" t="s">
        <v>503</v>
      </c>
      <c r="E32" s="15" t="s">
        <v>502</v>
      </c>
      <c r="H32"/>
      <c r="I32"/>
      <c r="J32"/>
    </row>
    <row r="33" spans="1:10" ht="15" x14ac:dyDescent="0.25">
      <c r="A33" s="553"/>
      <c r="B33" s="15">
        <v>2016</v>
      </c>
      <c r="C33" s="15">
        <f>51-730</f>
        <v>-679</v>
      </c>
      <c r="D33" s="15" t="s">
        <v>504</v>
      </c>
      <c r="E33" s="15" t="s">
        <v>498</v>
      </c>
      <c r="H33"/>
      <c r="I33"/>
      <c r="J33"/>
    </row>
    <row r="34" spans="1:10" ht="15" x14ac:dyDescent="0.25">
      <c r="B34" s="15">
        <v>2016</v>
      </c>
      <c r="C34" s="15">
        <v>-94</v>
      </c>
      <c r="D34" s="15" t="s">
        <v>504</v>
      </c>
      <c r="E34" s="15" t="s">
        <v>912</v>
      </c>
      <c r="H34"/>
      <c r="I34"/>
      <c r="J34"/>
    </row>
    <row r="35" spans="1:10" x14ac:dyDescent="0.2">
      <c r="B35" s="15">
        <v>2016</v>
      </c>
      <c r="C35" s="15">
        <v>8</v>
      </c>
      <c r="D35" s="15" t="s">
        <v>504</v>
      </c>
      <c r="E35" s="15" t="s">
        <v>499</v>
      </c>
    </row>
    <row r="36" spans="1:10" x14ac:dyDescent="0.2">
      <c r="B36" s="15">
        <v>2016</v>
      </c>
      <c r="C36" s="15">
        <v>-115</v>
      </c>
      <c r="D36" s="15" t="s">
        <v>504</v>
      </c>
      <c r="E36" s="15" t="s">
        <v>500</v>
      </c>
    </row>
    <row r="37" spans="1:10" x14ac:dyDescent="0.2">
      <c r="A37" s="553"/>
      <c r="B37" s="15">
        <v>2016</v>
      </c>
      <c r="C37" s="15">
        <f>3970-3785</f>
        <v>185</v>
      </c>
      <c r="D37" s="15" t="s">
        <v>504</v>
      </c>
      <c r="E37" s="15" t="s">
        <v>501</v>
      </c>
    </row>
    <row r="38" spans="1:10" x14ac:dyDescent="0.2">
      <c r="B38" s="15">
        <v>2016</v>
      </c>
      <c r="C38" s="15">
        <v>6</v>
      </c>
      <c r="D38" s="15" t="s">
        <v>504</v>
      </c>
      <c r="E38" s="15" t="s">
        <v>502</v>
      </c>
    </row>
    <row r="39" spans="1:10" x14ac:dyDescent="0.2">
      <c r="B39" s="15">
        <v>2017</v>
      </c>
      <c r="C39" s="15">
        <v>3970</v>
      </c>
      <c r="D39" s="15" t="s">
        <v>483</v>
      </c>
      <c r="E39" s="15" t="s">
        <v>498</v>
      </c>
    </row>
    <row r="40" spans="1:10" x14ac:dyDescent="0.2">
      <c r="B40" s="15">
        <v>2017</v>
      </c>
      <c r="C40" s="15">
        <v>265</v>
      </c>
      <c r="D40" s="15" t="s">
        <v>483</v>
      </c>
      <c r="E40" s="15" t="s">
        <v>912</v>
      </c>
    </row>
    <row r="41" spans="1:10" x14ac:dyDescent="0.2">
      <c r="B41" s="15">
        <v>2017</v>
      </c>
      <c r="C41" s="15">
        <v>226</v>
      </c>
      <c r="D41" s="15" t="s">
        <v>483</v>
      </c>
      <c r="E41" s="15" t="s">
        <v>499</v>
      </c>
    </row>
    <row r="42" spans="1:10" x14ac:dyDescent="0.2">
      <c r="B42" s="15">
        <v>2017</v>
      </c>
      <c r="C42" s="15">
        <v>33</v>
      </c>
      <c r="D42" s="15" t="s">
        <v>483</v>
      </c>
      <c r="E42" s="15" t="s">
        <v>500</v>
      </c>
    </row>
    <row r="43" spans="1:10" x14ac:dyDescent="0.2">
      <c r="B43" s="15">
        <v>2017</v>
      </c>
      <c r="C43" s="15">
        <v>5224</v>
      </c>
      <c r="D43" s="15" t="s">
        <v>483</v>
      </c>
      <c r="E43" s="15" t="s">
        <v>501</v>
      </c>
    </row>
    <row r="44" spans="1:10" x14ac:dyDescent="0.2">
      <c r="B44" s="15">
        <v>2017</v>
      </c>
      <c r="C44" s="15">
        <v>133</v>
      </c>
      <c r="D44" s="15" t="s">
        <v>483</v>
      </c>
      <c r="E44" s="15" t="s">
        <v>502</v>
      </c>
    </row>
    <row r="45" spans="1:10" x14ac:dyDescent="0.2">
      <c r="B45" s="15">
        <v>2017</v>
      </c>
      <c r="C45" s="15">
        <v>5592</v>
      </c>
      <c r="D45" s="15" t="s">
        <v>503</v>
      </c>
      <c r="E45" s="15" t="s">
        <v>498</v>
      </c>
    </row>
    <row r="46" spans="1:10" x14ac:dyDescent="0.2">
      <c r="B46" s="15">
        <v>2017</v>
      </c>
      <c r="C46" s="15">
        <v>637</v>
      </c>
      <c r="D46" s="15" t="s">
        <v>503</v>
      </c>
      <c r="E46" s="15" t="s">
        <v>912</v>
      </c>
    </row>
    <row r="47" spans="1:10" x14ac:dyDescent="0.2">
      <c r="B47" s="15">
        <v>2017</v>
      </c>
      <c r="C47" s="15">
        <v>252</v>
      </c>
      <c r="D47" s="15" t="s">
        <v>503</v>
      </c>
      <c r="E47" s="15" t="s">
        <v>499</v>
      </c>
    </row>
    <row r="48" spans="1:10" x14ac:dyDescent="0.2">
      <c r="B48" s="15">
        <v>2017</v>
      </c>
      <c r="C48" s="15">
        <v>16</v>
      </c>
      <c r="D48" s="15" t="s">
        <v>503</v>
      </c>
      <c r="E48" s="15" t="s">
        <v>500</v>
      </c>
    </row>
    <row r="49" spans="1:5" x14ac:dyDescent="0.2">
      <c r="B49" s="15">
        <v>2017</v>
      </c>
      <c r="C49" s="15">
        <v>4630</v>
      </c>
      <c r="D49" s="15" t="s">
        <v>503</v>
      </c>
      <c r="E49" s="15" t="s">
        <v>501</v>
      </c>
    </row>
    <row r="50" spans="1:5" x14ac:dyDescent="0.2">
      <c r="B50" s="15">
        <v>2017</v>
      </c>
      <c r="C50" s="15">
        <v>290</v>
      </c>
      <c r="D50" s="15" t="s">
        <v>503</v>
      </c>
      <c r="E50" s="15" t="s">
        <v>502</v>
      </c>
    </row>
    <row r="51" spans="1:5" x14ac:dyDescent="0.2">
      <c r="A51" s="553"/>
      <c r="B51" s="15">
        <v>2017</v>
      </c>
      <c r="C51" s="15">
        <f>54-833</f>
        <v>-779</v>
      </c>
      <c r="D51" s="15" t="s">
        <v>504</v>
      </c>
      <c r="E51" s="15" t="s">
        <v>498</v>
      </c>
    </row>
    <row r="52" spans="1:5" x14ac:dyDescent="0.2">
      <c r="B52" s="15">
        <v>2017</v>
      </c>
      <c r="C52" s="15">
        <v>-99</v>
      </c>
      <c r="D52" s="15" t="s">
        <v>504</v>
      </c>
      <c r="E52" s="15" t="s">
        <v>912</v>
      </c>
    </row>
    <row r="53" spans="1:5" x14ac:dyDescent="0.2">
      <c r="B53" s="15">
        <v>2017</v>
      </c>
      <c r="C53" s="15">
        <v>8</v>
      </c>
      <c r="D53" s="15" t="s">
        <v>504</v>
      </c>
      <c r="E53" s="15" t="s">
        <v>499</v>
      </c>
    </row>
    <row r="54" spans="1:5" x14ac:dyDescent="0.2">
      <c r="B54" s="15">
        <v>2017</v>
      </c>
      <c r="C54" s="15">
        <v>-7</v>
      </c>
      <c r="D54" s="15" t="s">
        <v>504</v>
      </c>
      <c r="E54" s="15" t="s">
        <v>500</v>
      </c>
    </row>
    <row r="55" spans="1:5" x14ac:dyDescent="0.2">
      <c r="A55" s="553"/>
      <c r="B55" s="15">
        <v>2017</v>
      </c>
      <c r="C55" s="15">
        <f>3431-2965</f>
        <v>466</v>
      </c>
      <c r="D55" s="15" t="s">
        <v>504</v>
      </c>
      <c r="E55" s="15" t="s">
        <v>501</v>
      </c>
    </row>
    <row r="56" spans="1:5" x14ac:dyDescent="0.2">
      <c r="B56" s="15">
        <v>2017</v>
      </c>
      <c r="C56" s="15">
        <v>7</v>
      </c>
      <c r="D56" s="15" t="s">
        <v>504</v>
      </c>
      <c r="E56" s="15" t="s">
        <v>502</v>
      </c>
    </row>
    <row r="57" spans="1:5" x14ac:dyDescent="0.2">
      <c r="B57" s="15">
        <v>2018</v>
      </c>
      <c r="C57" s="15">
        <v>3768</v>
      </c>
      <c r="D57" s="15" t="s">
        <v>483</v>
      </c>
      <c r="E57" s="15" t="s">
        <v>498</v>
      </c>
    </row>
    <row r="58" spans="1:5" x14ac:dyDescent="0.2">
      <c r="B58" s="15">
        <v>2018</v>
      </c>
      <c r="C58" s="15">
        <v>328</v>
      </c>
      <c r="D58" s="15" t="s">
        <v>483</v>
      </c>
      <c r="E58" s="15" t="s">
        <v>912</v>
      </c>
    </row>
    <row r="59" spans="1:5" x14ac:dyDescent="0.2">
      <c r="B59" s="15">
        <v>2018</v>
      </c>
      <c r="C59" s="15">
        <v>232</v>
      </c>
      <c r="D59" s="15" t="s">
        <v>483</v>
      </c>
      <c r="E59" s="15" t="s">
        <v>499</v>
      </c>
    </row>
    <row r="60" spans="1:5" x14ac:dyDescent="0.2">
      <c r="B60" s="15">
        <v>2018</v>
      </c>
      <c r="C60" s="15">
        <v>96</v>
      </c>
      <c r="D60" s="15" t="s">
        <v>483</v>
      </c>
      <c r="E60" s="15" t="s">
        <v>500</v>
      </c>
    </row>
    <row r="61" spans="1:5" x14ac:dyDescent="0.2">
      <c r="B61" s="15">
        <v>2018</v>
      </c>
      <c r="C61" s="15">
        <v>5274</v>
      </c>
      <c r="D61" s="15" t="s">
        <v>483</v>
      </c>
      <c r="E61" s="15" t="s">
        <v>501</v>
      </c>
    </row>
    <row r="62" spans="1:5" x14ac:dyDescent="0.2">
      <c r="B62" s="15">
        <v>2018</v>
      </c>
      <c r="C62" s="15">
        <v>228</v>
      </c>
      <c r="D62" s="15" t="s">
        <v>483</v>
      </c>
      <c r="E62" s="15" t="s">
        <v>502</v>
      </c>
    </row>
    <row r="63" spans="1:5" x14ac:dyDescent="0.2">
      <c r="B63" s="15">
        <v>2018</v>
      </c>
      <c r="C63" s="15">
        <v>6098</v>
      </c>
      <c r="D63" s="15" t="s">
        <v>503</v>
      </c>
      <c r="E63" s="15" t="s">
        <v>498</v>
      </c>
    </row>
    <row r="64" spans="1:5" x14ac:dyDescent="0.2">
      <c r="B64" s="15">
        <v>2018</v>
      </c>
      <c r="C64" s="15">
        <v>570</v>
      </c>
      <c r="D64" s="15" t="s">
        <v>503</v>
      </c>
      <c r="E64" s="15" t="s">
        <v>912</v>
      </c>
    </row>
    <row r="65" spans="1:5" x14ac:dyDescent="0.2">
      <c r="B65" s="15">
        <v>2018</v>
      </c>
      <c r="C65" s="15">
        <v>227</v>
      </c>
      <c r="D65" s="15" t="s">
        <v>503</v>
      </c>
      <c r="E65" s="15" t="s">
        <v>499</v>
      </c>
    </row>
    <row r="66" spans="1:5" x14ac:dyDescent="0.2">
      <c r="B66" s="15">
        <v>2018</v>
      </c>
      <c r="C66" s="15">
        <v>239</v>
      </c>
      <c r="D66" s="15" t="s">
        <v>503</v>
      </c>
      <c r="E66" s="15" t="s">
        <v>500</v>
      </c>
    </row>
    <row r="67" spans="1:5" x14ac:dyDescent="0.2">
      <c r="B67" s="15">
        <v>2018</v>
      </c>
      <c r="C67" s="15">
        <v>5131</v>
      </c>
      <c r="D67" s="15" t="s">
        <v>503</v>
      </c>
      <c r="E67" s="15" t="s">
        <v>501</v>
      </c>
    </row>
    <row r="68" spans="1:5" x14ac:dyDescent="0.2">
      <c r="B68" s="15">
        <v>2018</v>
      </c>
      <c r="C68" s="15">
        <v>177</v>
      </c>
      <c r="D68" s="15" t="s">
        <v>503</v>
      </c>
      <c r="E68" s="15" t="s">
        <v>502</v>
      </c>
    </row>
    <row r="69" spans="1:5" x14ac:dyDescent="0.2">
      <c r="A69" s="553"/>
      <c r="B69" s="15">
        <v>2018</v>
      </c>
      <c r="C69" s="15">
        <f>69-776</f>
        <v>-707</v>
      </c>
      <c r="D69" s="15" t="s">
        <v>504</v>
      </c>
      <c r="E69" s="15" t="s">
        <v>498</v>
      </c>
    </row>
    <row r="70" spans="1:5" x14ac:dyDescent="0.2">
      <c r="B70" s="15">
        <v>2018</v>
      </c>
      <c r="C70" s="15">
        <v>-105</v>
      </c>
      <c r="D70" s="15" t="s">
        <v>504</v>
      </c>
      <c r="E70" s="15" t="s">
        <v>912</v>
      </c>
    </row>
    <row r="71" spans="1:5" x14ac:dyDescent="0.2">
      <c r="B71" s="15">
        <v>2018</v>
      </c>
      <c r="C71" s="15">
        <v>5</v>
      </c>
      <c r="D71" s="15" t="s">
        <v>504</v>
      </c>
      <c r="E71" s="15" t="s">
        <v>499</v>
      </c>
    </row>
    <row r="72" spans="1:5" x14ac:dyDescent="0.2">
      <c r="B72" s="15">
        <v>2018</v>
      </c>
      <c r="C72" s="15">
        <v>-133</v>
      </c>
      <c r="D72" s="15" t="s">
        <v>504</v>
      </c>
      <c r="E72" s="15" t="s">
        <v>500</v>
      </c>
    </row>
    <row r="73" spans="1:5" x14ac:dyDescent="0.2">
      <c r="A73" s="553"/>
      <c r="B73" s="15">
        <v>2018</v>
      </c>
      <c r="C73" s="15">
        <f>3553-3373</f>
        <v>180</v>
      </c>
      <c r="D73" s="15" t="s">
        <v>504</v>
      </c>
      <c r="E73" s="15" t="s">
        <v>501</v>
      </c>
    </row>
    <row r="74" spans="1:5" x14ac:dyDescent="0.2">
      <c r="B74" s="15">
        <v>2018</v>
      </c>
      <c r="C74" s="15">
        <v>1</v>
      </c>
      <c r="D74" s="15" t="s">
        <v>504</v>
      </c>
      <c r="E74" s="15" t="s">
        <v>502</v>
      </c>
    </row>
  </sheetData>
  <pageMargins left="0.7" right="0.7" top="0.75" bottom="0.75" header="0.3" footer="0.3"/>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7E7BE-59AD-40AB-ABB4-F9A98804F7FC}">
  <sheetPr>
    <tabColor theme="5" tint="0.59999389629810485"/>
  </sheetPr>
  <dimension ref="B1:S92"/>
  <sheetViews>
    <sheetView showGridLines="0" topLeftCell="A33" workbookViewId="0">
      <selection activeCell="I8" sqref="I8"/>
    </sheetView>
  </sheetViews>
  <sheetFormatPr defaultColWidth="9.140625" defaultRowHeight="14.25" x14ac:dyDescent="0.2"/>
  <cols>
    <col min="1" max="1" width="9.140625" style="15"/>
    <col min="2" max="2" width="9.28515625" style="15" bestFit="1" customWidth="1"/>
    <col min="3" max="3" width="9.5703125" style="15" customWidth="1"/>
    <col min="4" max="4" width="11" style="15" customWidth="1"/>
    <col min="5" max="5" width="14" style="15" customWidth="1"/>
    <col min="6" max="6" width="10.28515625" style="15" customWidth="1"/>
    <col min="7" max="7" width="9.140625" style="15"/>
    <col min="8" max="8" width="18.28515625" style="15" bestFit="1" customWidth="1"/>
    <col min="9" max="9" width="21.140625" style="15" bestFit="1" customWidth="1"/>
    <col min="10" max="10" width="13.42578125" style="15" bestFit="1" customWidth="1"/>
    <col min="11" max="11" width="5" style="15" bestFit="1" customWidth="1"/>
    <col min="12" max="12" width="15.5703125" style="15" bestFit="1" customWidth="1"/>
    <col min="13" max="14" width="18.28515625" style="15" bestFit="1" customWidth="1"/>
    <col min="15" max="15" width="9.42578125" style="15" bestFit="1" customWidth="1"/>
    <col min="16" max="16" width="14.5703125" style="15" bestFit="1" customWidth="1"/>
    <col min="17" max="17" width="11.140625" style="15" bestFit="1" customWidth="1"/>
    <col min="18" max="18" width="14" style="15" bestFit="1" customWidth="1"/>
    <col min="19" max="19" width="18.28515625" style="15" bestFit="1" customWidth="1"/>
    <col min="20" max="20" width="11.28515625" style="15" bestFit="1" customWidth="1"/>
    <col min="21" max="21" width="18.28515625" style="15" bestFit="1" customWidth="1"/>
    <col min="22" max="24" width="5" style="15" bestFit="1" customWidth="1"/>
    <col min="25" max="25" width="7.7109375" style="15" bestFit="1" customWidth="1"/>
    <col min="26" max="26" width="10.140625" style="15" bestFit="1" customWidth="1"/>
    <col min="27" max="27" width="16.85546875" style="15" bestFit="1" customWidth="1"/>
    <col min="28" max="30" width="6" style="15" bestFit="1" customWidth="1"/>
    <col min="31" max="31" width="7.7109375" style="15" bestFit="1" customWidth="1"/>
    <col min="32" max="32" width="21.140625" style="15" bestFit="1" customWidth="1"/>
    <col min="33" max="33" width="14" style="15" bestFit="1" customWidth="1"/>
    <col min="34" max="34" width="16.140625" style="15" bestFit="1" customWidth="1"/>
    <col min="35" max="37" width="6" style="15" bestFit="1" customWidth="1"/>
    <col min="38" max="38" width="7.7109375" style="15" bestFit="1" customWidth="1"/>
    <col min="39" max="39" width="20.42578125" style="15" bestFit="1" customWidth="1"/>
    <col min="40" max="40" width="13" style="15" bestFit="1" customWidth="1"/>
    <col min="41" max="43" width="6" style="15" bestFit="1" customWidth="1"/>
    <col min="44" max="44" width="7.7109375" style="15" bestFit="1" customWidth="1"/>
    <col min="45" max="45" width="17.42578125" style="15" bestFit="1" customWidth="1"/>
    <col min="46" max="46" width="11.28515625" style="15" bestFit="1" customWidth="1"/>
    <col min="47" max="47" width="18.28515625" style="15" bestFit="1" customWidth="1"/>
    <col min="48" max="16384" width="9.140625" style="15"/>
  </cols>
  <sheetData>
    <row r="1" spans="2:13" x14ac:dyDescent="0.2">
      <c r="B1" s="15" t="s">
        <v>864</v>
      </c>
    </row>
    <row r="2" spans="2:13" x14ac:dyDescent="0.2">
      <c r="B2" s="15" t="s">
        <v>480</v>
      </c>
      <c r="C2" s="15" t="s">
        <v>481</v>
      </c>
      <c r="D2" s="15" t="s">
        <v>465</v>
      </c>
      <c r="E2" s="15" t="s">
        <v>484</v>
      </c>
      <c r="F2" s="15" t="s">
        <v>482</v>
      </c>
      <c r="H2" s="15" t="s">
        <v>865</v>
      </c>
    </row>
    <row r="3" spans="2:13" ht="15" x14ac:dyDescent="0.25">
      <c r="B3" s="15">
        <v>2015</v>
      </c>
      <c r="C3" s="15">
        <v>14116</v>
      </c>
      <c r="D3" s="15" t="s">
        <v>86</v>
      </c>
      <c r="E3" s="15" t="s">
        <v>50</v>
      </c>
      <c r="F3" s="15" t="s">
        <v>483</v>
      </c>
      <c r="H3" s="23" t="s">
        <v>465</v>
      </c>
      <c r="I3" t="s">
        <v>86</v>
      </c>
    </row>
    <row r="4" spans="2:13" x14ac:dyDescent="0.2">
      <c r="B4" s="15">
        <v>2015</v>
      </c>
      <c r="C4" s="15">
        <v>3378</v>
      </c>
      <c r="D4" s="15" t="s">
        <v>86</v>
      </c>
      <c r="E4" s="15" t="s">
        <v>51</v>
      </c>
      <c r="F4" s="15" t="s">
        <v>483</v>
      </c>
    </row>
    <row r="5" spans="2:13" ht="15" x14ac:dyDescent="0.25">
      <c r="B5" s="15">
        <v>2015</v>
      </c>
      <c r="C5" s="15">
        <v>987</v>
      </c>
      <c r="D5" s="15" t="s">
        <v>86</v>
      </c>
      <c r="E5" s="15" t="s">
        <v>466</v>
      </c>
      <c r="F5" s="15" t="s">
        <v>483</v>
      </c>
      <c r="H5" s="23" t="s">
        <v>506</v>
      </c>
      <c r="I5" s="23" t="s">
        <v>475</v>
      </c>
      <c r="J5"/>
      <c r="K5"/>
      <c r="L5"/>
      <c r="M5"/>
    </row>
    <row r="6" spans="2:13" ht="15" x14ac:dyDescent="0.25">
      <c r="B6" s="15">
        <v>2015</v>
      </c>
      <c r="C6" s="15">
        <v>70952</v>
      </c>
      <c r="D6" s="15" t="s">
        <v>86</v>
      </c>
      <c r="E6" s="15" t="s">
        <v>490</v>
      </c>
      <c r="F6" s="15" t="s">
        <v>483</v>
      </c>
      <c r="H6" s="23" t="s">
        <v>473</v>
      </c>
      <c r="I6" t="s">
        <v>50</v>
      </c>
      <c r="J6" t="s">
        <v>51</v>
      </c>
      <c r="K6" t="s">
        <v>466</v>
      </c>
      <c r="L6" t="s">
        <v>490</v>
      </c>
      <c r="M6" t="s">
        <v>474</v>
      </c>
    </row>
    <row r="7" spans="2:13" ht="15" x14ac:dyDescent="0.25">
      <c r="B7" s="15">
        <v>2015</v>
      </c>
      <c r="C7" s="15">
        <v>17108</v>
      </c>
      <c r="D7" s="15" t="s">
        <v>91</v>
      </c>
      <c r="E7" s="15" t="s">
        <v>485</v>
      </c>
      <c r="F7" s="15" t="s">
        <v>483</v>
      </c>
      <c r="H7" s="24">
        <v>2015</v>
      </c>
      <c r="I7" s="25">
        <v>14116</v>
      </c>
      <c r="J7" s="25">
        <v>3378</v>
      </c>
      <c r="K7" s="25">
        <v>987</v>
      </c>
      <c r="L7" s="25">
        <v>70952</v>
      </c>
      <c r="M7" s="25">
        <v>89433</v>
      </c>
    </row>
    <row r="8" spans="2:13" ht="15" x14ac:dyDescent="0.25">
      <c r="B8" s="15">
        <v>2015</v>
      </c>
      <c r="C8" s="15">
        <v>72325</v>
      </c>
      <c r="D8" s="15" t="s">
        <v>91</v>
      </c>
      <c r="E8" s="15" t="s">
        <v>97</v>
      </c>
      <c r="F8" s="15" t="s">
        <v>483</v>
      </c>
      <c r="H8" s="24">
        <v>2016</v>
      </c>
      <c r="I8" s="25">
        <v>16765</v>
      </c>
      <c r="J8" s="25">
        <v>2490</v>
      </c>
      <c r="K8" s="25">
        <v>1103</v>
      </c>
      <c r="L8" s="25">
        <v>70836</v>
      </c>
      <c r="M8" s="25">
        <v>91194</v>
      </c>
    </row>
    <row r="9" spans="2:13" ht="15" x14ac:dyDescent="0.25">
      <c r="B9" s="15">
        <v>2016</v>
      </c>
      <c r="C9" s="15">
        <v>16765</v>
      </c>
      <c r="D9" s="15" t="s">
        <v>86</v>
      </c>
      <c r="E9" s="15" t="s">
        <v>50</v>
      </c>
      <c r="F9" s="15" t="s">
        <v>483</v>
      </c>
      <c r="H9" s="24">
        <v>2017</v>
      </c>
      <c r="I9" s="25">
        <v>16469</v>
      </c>
      <c r="J9" s="25">
        <v>2209</v>
      </c>
      <c r="K9" s="25">
        <v>1064</v>
      </c>
      <c r="L9" s="25">
        <v>33288</v>
      </c>
      <c r="M9" s="25">
        <v>53030</v>
      </c>
    </row>
    <row r="10" spans="2:13" ht="15" x14ac:dyDescent="0.25">
      <c r="B10" s="15">
        <v>2016</v>
      </c>
      <c r="C10" s="15">
        <v>2490</v>
      </c>
      <c r="D10" s="15" t="s">
        <v>86</v>
      </c>
      <c r="E10" s="15" t="s">
        <v>51</v>
      </c>
      <c r="F10" s="15" t="s">
        <v>483</v>
      </c>
      <c r="H10" s="24">
        <v>2018</v>
      </c>
      <c r="I10" s="25">
        <v>14763</v>
      </c>
      <c r="J10" s="25">
        <v>3080</v>
      </c>
      <c r="K10" s="25">
        <v>955</v>
      </c>
      <c r="L10" s="25">
        <v>24020</v>
      </c>
      <c r="M10" s="25">
        <v>42818</v>
      </c>
    </row>
    <row r="11" spans="2:13" ht="15" x14ac:dyDescent="0.25">
      <c r="B11" s="15">
        <v>2016</v>
      </c>
      <c r="C11" s="15">
        <v>1103</v>
      </c>
      <c r="D11" s="15" t="s">
        <v>86</v>
      </c>
      <c r="E11" s="15" t="s">
        <v>466</v>
      </c>
      <c r="F11" s="15" t="s">
        <v>483</v>
      </c>
      <c r="H11" s="24" t="s">
        <v>474</v>
      </c>
      <c r="I11" s="25">
        <v>62113</v>
      </c>
      <c r="J11" s="25">
        <v>11157</v>
      </c>
      <c r="K11" s="25">
        <v>4109</v>
      </c>
      <c r="L11" s="25">
        <v>199096</v>
      </c>
      <c r="M11" s="25">
        <v>276475</v>
      </c>
    </row>
    <row r="12" spans="2:13" ht="15" x14ac:dyDescent="0.25">
      <c r="B12" s="15">
        <v>2016</v>
      </c>
      <c r="C12" s="15">
        <v>70836</v>
      </c>
      <c r="D12" s="15" t="s">
        <v>86</v>
      </c>
      <c r="E12" s="15" t="s">
        <v>490</v>
      </c>
      <c r="F12" s="15" t="s">
        <v>483</v>
      </c>
      <c r="H12"/>
      <c r="I12"/>
      <c r="J12"/>
      <c r="K12"/>
    </row>
    <row r="13" spans="2:13" ht="15" x14ac:dyDescent="0.25">
      <c r="B13" s="15">
        <v>2016</v>
      </c>
      <c r="C13" s="15">
        <v>11582</v>
      </c>
      <c r="D13" s="15" t="s">
        <v>91</v>
      </c>
      <c r="E13" s="15" t="s">
        <v>485</v>
      </c>
      <c r="F13" s="15" t="s">
        <v>483</v>
      </c>
      <c r="H13"/>
      <c r="I13"/>
      <c r="J13"/>
      <c r="K13"/>
    </row>
    <row r="14" spans="2:13" x14ac:dyDescent="0.2">
      <c r="B14" s="15">
        <v>2016</v>
      </c>
      <c r="C14" s="15">
        <v>79612</v>
      </c>
      <c r="D14" s="15" t="s">
        <v>91</v>
      </c>
      <c r="E14" s="15" t="s">
        <v>97</v>
      </c>
      <c r="F14" s="15" t="s">
        <v>483</v>
      </c>
    </row>
    <row r="15" spans="2:13" x14ac:dyDescent="0.2">
      <c r="B15" s="15">
        <v>2017</v>
      </c>
      <c r="C15" s="15">
        <v>16469</v>
      </c>
      <c r="D15" s="15" t="s">
        <v>86</v>
      </c>
      <c r="E15" s="15" t="s">
        <v>50</v>
      </c>
      <c r="F15" s="15" t="s">
        <v>483</v>
      </c>
    </row>
    <row r="16" spans="2:13" x14ac:dyDescent="0.2">
      <c r="B16" s="15">
        <v>2017</v>
      </c>
      <c r="C16" s="15">
        <v>2209</v>
      </c>
      <c r="D16" s="15" t="s">
        <v>86</v>
      </c>
      <c r="E16" s="15" t="s">
        <v>51</v>
      </c>
      <c r="F16" s="15" t="s">
        <v>483</v>
      </c>
    </row>
    <row r="17" spans="2:17" x14ac:dyDescent="0.2">
      <c r="B17" s="15">
        <v>2017</v>
      </c>
      <c r="C17" s="15">
        <v>1064</v>
      </c>
      <c r="D17" s="15" t="s">
        <v>86</v>
      </c>
      <c r="E17" s="15" t="s">
        <v>466</v>
      </c>
      <c r="F17" s="15" t="s">
        <v>483</v>
      </c>
    </row>
    <row r="18" spans="2:17" x14ac:dyDescent="0.2">
      <c r="B18" s="15">
        <v>2017</v>
      </c>
      <c r="C18" s="15">
        <v>33288</v>
      </c>
      <c r="D18" s="15" t="s">
        <v>86</v>
      </c>
      <c r="E18" s="15" t="s">
        <v>490</v>
      </c>
      <c r="F18" s="15" t="s">
        <v>483</v>
      </c>
    </row>
    <row r="19" spans="2:17" ht="15" x14ac:dyDescent="0.25">
      <c r="B19" s="15">
        <v>2017</v>
      </c>
      <c r="C19" s="15">
        <v>10927</v>
      </c>
      <c r="D19" s="15" t="s">
        <v>91</v>
      </c>
      <c r="E19" s="15" t="s">
        <v>485</v>
      </c>
      <c r="F19" s="15" t="s">
        <v>483</v>
      </c>
      <c r="N19"/>
      <c r="O19"/>
    </row>
    <row r="20" spans="2:17" ht="15" x14ac:dyDescent="0.25">
      <c r="B20" s="15">
        <v>2017</v>
      </c>
      <c r="C20" s="15">
        <v>42103</v>
      </c>
      <c r="D20" s="15" t="s">
        <v>91</v>
      </c>
      <c r="E20" s="15" t="s">
        <v>97</v>
      </c>
      <c r="F20" s="15" t="s">
        <v>483</v>
      </c>
      <c r="N20"/>
      <c r="O20"/>
      <c r="Q20" s="13"/>
    </row>
    <row r="21" spans="2:17" ht="15" x14ac:dyDescent="0.25">
      <c r="B21" s="15">
        <v>2018</v>
      </c>
      <c r="C21" s="15">
        <v>14763</v>
      </c>
      <c r="D21" s="15" t="s">
        <v>86</v>
      </c>
      <c r="E21" s="15" t="s">
        <v>50</v>
      </c>
      <c r="F21" s="15" t="s">
        <v>483</v>
      </c>
      <c r="N21"/>
      <c r="O21"/>
      <c r="Q21" s="13"/>
    </row>
    <row r="22" spans="2:17" ht="15" x14ac:dyDescent="0.25">
      <c r="B22" s="15">
        <v>2018</v>
      </c>
      <c r="C22" s="15">
        <v>3080</v>
      </c>
      <c r="D22" s="15" t="s">
        <v>86</v>
      </c>
      <c r="E22" s="15" t="s">
        <v>51</v>
      </c>
      <c r="F22" s="15" t="s">
        <v>483</v>
      </c>
      <c r="N22"/>
      <c r="O22"/>
      <c r="Q22" s="13"/>
    </row>
    <row r="23" spans="2:17" ht="15" x14ac:dyDescent="0.25">
      <c r="B23" s="15">
        <v>2018</v>
      </c>
      <c r="C23" s="15">
        <v>955</v>
      </c>
      <c r="D23" s="15" t="s">
        <v>86</v>
      </c>
      <c r="E23" s="15" t="s">
        <v>466</v>
      </c>
      <c r="F23" s="15" t="s">
        <v>483</v>
      </c>
      <c r="N23"/>
      <c r="O23"/>
      <c r="P23" s="13"/>
      <c r="Q23" s="13"/>
    </row>
    <row r="24" spans="2:17" ht="15" x14ac:dyDescent="0.25">
      <c r="B24" s="15">
        <v>2018</v>
      </c>
      <c r="C24" s="15">
        <v>24020</v>
      </c>
      <c r="D24" s="15" t="s">
        <v>86</v>
      </c>
      <c r="E24" s="15" t="s">
        <v>490</v>
      </c>
      <c r="F24" s="15" t="s">
        <v>483</v>
      </c>
      <c r="N24"/>
      <c r="O24"/>
      <c r="P24" s="13"/>
      <c r="Q24" s="13"/>
    </row>
    <row r="25" spans="2:17" ht="15" x14ac:dyDescent="0.25">
      <c r="B25" s="15">
        <v>2018</v>
      </c>
      <c r="C25" s="15">
        <v>13694</v>
      </c>
      <c r="D25" s="15" t="s">
        <v>91</v>
      </c>
      <c r="E25" s="15" t="s">
        <v>485</v>
      </c>
      <c r="F25" s="15" t="s">
        <v>483</v>
      </c>
      <c r="N25"/>
      <c r="O25"/>
      <c r="P25" s="13"/>
      <c r="Q25" s="13"/>
    </row>
    <row r="26" spans="2:17" ht="15" x14ac:dyDescent="0.25">
      <c r="B26" s="15">
        <v>2018</v>
      </c>
      <c r="C26" s="15">
        <v>29124</v>
      </c>
      <c r="D26" s="15" t="s">
        <v>91</v>
      </c>
      <c r="E26" s="15" t="s">
        <v>97</v>
      </c>
      <c r="F26" s="15" t="s">
        <v>483</v>
      </c>
      <c r="H26"/>
      <c r="I26"/>
      <c r="J26"/>
      <c r="K26"/>
      <c r="L26"/>
      <c r="M26"/>
      <c r="N26"/>
      <c r="O26"/>
      <c r="P26" s="13"/>
      <c r="Q26" s="13"/>
    </row>
    <row r="27" spans="2:17" ht="15" x14ac:dyDescent="0.25">
      <c r="H27"/>
      <c r="I27"/>
      <c r="J27"/>
      <c r="M27" s="13"/>
      <c r="N27" s="13"/>
      <c r="O27" s="13"/>
      <c r="P27" s="13"/>
      <c r="Q27" s="13"/>
    </row>
    <row r="28" spans="2:17" ht="15" x14ac:dyDescent="0.25">
      <c r="H28"/>
      <c r="I28"/>
      <c r="J28"/>
      <c r="M28" s="13"/>
      <c r="N28" s="13"/>
      <c r="O28" s="13"/>
      <c r="P28" s="13"/>
      <c r="Q28" s="13"/>
    </row>
    <row r="29" spans="2:17" ht="15" x14ac:dyDescent="0.25">
      <c r="H29"/>
      <c r="I29"/>
      <c r="J29"/>
      <c r="M29" s="13"/>
      <c r="N29" s="13"/>
      <c r="O29" s="13"/>
      <c r="P29" s="13"/>
      <c r="Q29" s="13"/>
    </row>
    <row r="30" spans="2:17" ht="15" x14ac:dyDescent="0.25">
      <c r="H30"/>
      <c r="I30"/>
      <c r="J30"/>
      <c r="M30" s="13"/>
      <c r="N30" s="13"/>
      <c r="O30" s="13"/>
      <c r="P30" s="13"/>
      <c r="Q30" s="13"/>
    </row>
    <row r="31" spans="2:17" ht="15" x14ac:dyDescent="0.25">
      <c r="H31"/>
      <c r="I31"/>
      <c r="J31"/>
      <c r="M31" s="13"/>
      <c r="N31" s="13"/>
      <c r="O31" s="13"/>
      <c r="P31" s="13"/>
      <c r="Q31" s="13"/>
    </row>
    <row r="32" spans="2:17" ht="15" x14ac:dyDescent="0.25">
      <c r="H32"/>
      <c r="I32"/>
      <c r="J32"/>
      <c r="M32" s="13"/>
      <c r="N32" s="13"/>
      <c r="O32" s="13"/>
      <c r="P32" s="13"/>
      <c r="Q32" s="13"/>
    </row>
    <row r="33" spans="2:17" ht="15" x14ac:dyDescent="0.25">
      <c r="H33"/>
      <c r="I33"/>
      <c r="J33"/>
      <c r="M33" s="14"/>
      <c r="N33" s="14"/>
      <c r="O33" s="14"/>
      <c r="P33" s="13"/>
      <c r="Q33" s="13"/>
    </row>
    <row r="34" spans="2:17" ht="15" x14ac:dyDescent="0.25">
      <c r="H34"/>
      <c r="I34"/>
      <c r="J34"/>
      <c r="M34" s="14"/>
      <c r="N34" s="14"/>
      <c r="O34" s="14"/>
      <c r="P34" s="13"/>
      <c r="Q34" s="13"/>
    </row>
    <row r="35" spans="2:17" ht="15" x14ac:dyDescent="0.25">
      <c r="H35"/>
      <c r="I35"/>
      <c r="J35"/>
      <c r="M35" s="14"/>
      <c r="N35" s="14"/>
      <c r="O35" s="14"/>
      <c r="P35" s="13"/>
      <c r="Q35" s="13"/>
    </row>
    <row r="36" spans="2:17" s="480" customFormat="1" ht="15.75" thickBot="1" x14ac:dyDescent="0.3">
      <c r="H36" s="481"/>
      <c r="I36" s="481"/>
      <c r="J36" s="481"/>
      <c r="M36" s="482"/>
      <c r="N36" s="482"/>
      <c r="O36" s="482"/>
      <c r="P36" s="482"/>
      <c r="Q36" s="482"/>
    </row>
    <row r="37" spans="2:17" ht="15" customHeight="1" x14ac:dyDescent="0.25">
      <c r="B37" s="15" t="s">
        <v>867</v>
      </c>
      <c r="H37"/>
      <c r="I37"/>
      <c r="J37"/>
      <c r="M37" s="14"/>
      <c r="N37" s="14"/>
      <c r="O37" s="14"/>
      <c r="P37" s="13"/>
      <c r="Q37" s="13"/>
    </row>
    <row r="38" spans="2:17" ht="15" x14ac:dyDescent="0.25">
      <c r="B38" s="17" t="s">
        <v>480</v>
      </c>
      <c r="C38" s="18" t="s">
        <v>487</v>
      </c>
      <c r="D38" s="18" t="s">
        <v>465</v>
      </c>
      <c r="E38" s="18" t="s">
        <v>484</v>
      </c>
      <c r="F38" s="19" t="s">
        <v>482</v>
      </c>
      <c r="H38" s="14" t="s">
        <v>866</v>
      </c>
      <c r="I38" s="14"/>
      <c r="J38" s="14"/>
      <c r="K38" s="14"/>
      <c r="L38" s="14"/>
      <c r="M38" s="14"/>
      <c r="N38" s="14"/>
      <c r="O38" s="14"/>
      <c r="P38" s="13"/>
      <c r="Q38" s="13"/>
    </row>
    <row r="39" spans="2:17" ht="15" x14ac:dyDescent="0.25">
      <c r="B39" s="15">
        <v>2015</v>
      </c>
      <c r="C39" s="15">
        <v>485</v>
      </c>
      <c r="D39" s="15" t="s">
        <v>86</v>
      </c>
      <c r="E39" s="15" t="s">
        <v>488</v>
      </c>
      <c r="F39" s="15" t="s">
        <v>496</v>
      </c>
      <c r="H39" s="23" t="s">
        <v>465</v>
      </c>
      <c r="I39" t="s">
        <v>86</v>
      </c>
      <c r="J39" s="14"/>
      <c r="K39" s="14"/>
      <c r="L39" s="14"/>
      <c r="M39" s="14"/>
      <c r="N39" s="14"/>
      <c r="O39" s="14"/>
      <c r="P39" s="13"/>
      <c r="Q39" s="13"/>
    </row>
    <row r="40" spans="2:17" x14ac:dyDescent="0.2">
      <c r="B40" s="15">
        <v>2015</v>
      </c>
      <c r="C40" s="15">
        <v>12722</v>
      </c>
      <c r="D40" s="15" t="s">
        <v>86</v>
      </c>
      <c r="E40" s="15" t="s">
        <v>489</v>
      </c>
      <c r="F40" s="15" t="s">
        <v>496</v>
      </c>
      <c r="H40" s="14"/>
      <c r="I40" s="14"/>
      <c r="J40" s="14"/>
      <c r="K40" s="14"/>
      <c r="L40" s="14"/>
      <c r="M40" s="14"/>
      <c r="N40" s="14"/>
      <c r="O40" s="14"/>
      <c r="P40" s="13"/>
      <c r="Q40" s="13"/>
    </row>
    <row r="41" spans="2:17" ht="15" x14ac:dyDescent="0.25">
      <c r="B41" s="15">
        <v>2015</v>
      </c>
      <c r="C41" s="15">
        <v>4172</v>
      </c>
      <c r="D41" s="15" t="s">
        <v>86</v>
      </c>
      <c r="E41" s="15" t="s">
        <v>490</v>
      </c>
      <c r="F41" s="15" t="s">
        <v>496</v>
      </c>
      <c r="H41" s="23" t="s">
        <v>507</v>
      </c>
      <c r="I41" s="23" t="s">
        <v>475</v>
      </c>
      <c r="J41"/>
      <c r="K41"/>
      <c r="L41"/>
      <c r="M41"/>
      <c r="N41"/>
      <c r="O41" s="14"/>
      <c r="P41" s="13"/>
      <c r="Q41" s="13"/>
    </row>
    <row r="42" spans="2:17" ht="15" x14ac:dyDescent="0.25">
      <c r="B42" s="15">
        <v>2015</v>
      </c>
      <c r="C42" s="15">
        <v>197</v>
      </c>
      <c r="D42" s="15" t="s">
        <v>86</v>
      </c>
      <c r="E42" s="15" t="s">
        <v>491</v>
      </c>
      <c r="F42" s="15" t="s">
        <v>496</v>
      </c>
      <c r="H42" s="23" t="s">
        <v>473</v>
      </c>
      <c r="I42" t="s">
        <v>488</v>
      </c>
      <c r="J42" t="s">
        <v>489</v>
      </c>
      <c r="K42" t="s">
        <v>490</v>
      </c>
      <c r="L42" t="s">
        <v>491</v>
      </c>
      <c r="M42" t="s">
        <v>492</v>
      </c>
      <c r="N42" t="s">
        <v>474</v>
      </c>
      <c r="O42" s="14"/>
      <c r="P42" s="13"/>
      <c r="Q42" s="13"/>
    </row>
    <row r="43" spans="2:17" ht="15" x14ac:dyDescent="0.25">
      <c r="B43" s="15">
        <v>2015</v>
      </c>
      <c r="C43" s="15">
        <v>1508</v>
      </c>
      <c r="D43" s="15" t="s">
        <v>86</v>
      </c>
      <c r="E43" s="15" t="s">
        <v>492</v>
      </c>
      <c r="F43" s="15" t="s">
        <v>496</v>
      </c>
      <c r="H43" s="24">
        <v>2015</v>
      </c>
      <c r="I43" s="25">
        <v>485</v>
      </c>
      <c r="J43" s="25">
        <v>12722</v>
      </c>
      <c r="K43" s="25">
        <v>4172</v>
      </c>
      <c r="L43" s="25">
        <v>197</v>
      </c>
      <c r="M43" s="25">
        <v>1508</v>
      </c>
      <c r="N43" s="25">
        <v>19084</v>
      </c>
      <c r="O43" s="14"/>
      <c r="P43" s="13"/>
      <c r="Q43" s="13"/>
    </row>
    <row r="44" spans="2:17" ht="15" x14ac:dyDescent="0.25">
      <c r="B44" s="15">
        <v>2015</v>
      </c>
      <c r="C44" s="15">
        <v>2648</v>
      </c>
      <c r="D44" s="15" t="s">
        <v>91</v>
      </c>
      <c r="E44" s="15" t="s">
        <v>493</v>
      </c>
      <c r="F44" s="15" t="s">
        <v>496</v>
      </c>
      <c r="H44" s="24">
        <v>2016</v>
      </c>
      <c r="I44" s="25">
        <v>521</v>
      </c>
      <c r="J44" s="25">
        <v>14615</v>
      </c>
      <c r="K44" s="25">
        <v>6745</v>
      </c>
      <c r="L44" s="25">
        <v>0</v>
      </c>
      <c r="M44" s="25">
        <v>1403</v>
      </c>
      <c r="N44" s="25">
        <v>23284</v>
      </c>
      <c r="O44" s="14"/>
      <c r="P44" s="13"/>
      <c r="Q44" s="13"/>
    </row>
    <row r="45" spans="2:17" ht="15" x14ac:dyDescent="0.25">
      <c r="B45" s="15">
        <v>2015</v>
      </c>
      <c r="C45" s="15">
        <v>3385</v>
      </c>
      <c r="D45" s="15" t="s">
        <v>91</v>
      </c>
      <c r="E45" s="15" t="s">
        <v>494</v>
      </c>
      <c r="F45" s="15" t="s">
        <v>496</v>
      </c>
      <c r="H45" s="24">
        <v>2017</v>
      </c>
      <c r="I45" s="25">
        <v>437</v>
      </c>
      <c r="J45" s="25">
        <v>15102</v>
      </c>
      <c r="K45" s="25">
        <v>5843</v>
      </c>
      <c r="L45" s="25">
        <v>-94</v>
      </c>
      <c r="M45" s="25">
        <v>1637</v>
      </c>
      <c r="N45" s="25">
        <v>22925</v>
      </c>
      <c r="O45" s="14"/>
      <c r="P45" s="13"/>
      <c r="Q45" s="13"/>
    </row>
    <row r="46" spans="2:17" ht="15" x14ac:dyDescent="0.25">
      <c r="B46" s="15">
        <v>2015</v>
      </c>
      <c r="C46" s="15">
        <v>5671</v>
      </c>
      <c r="D46" s="15" t="s">
        <v>91</v>
      </c>
      <c r="E46" s="15" t="s">
        <v>87</v>
      </c>
      <c r="F46" s="15" t="s">
        <v>496</v>
      </c>
      <c r="H46" s="24">
        <v>2018</v>
      </c>
      <c r="I46" s="25">
        <v>354</v>
      </c>
      <c r="J46" s="25">
        <v>14566</v>
      </c>
      <c r="K46" s="25">
        <v>5811</v>
      </c>
      <c r="L46" s="25">
        <v>-17</v>
      </c>
      <c r="M46" s="25">
        <v>1909</v>
      </c>
      <c r="N46" s="25">
        <v>22623</v>
      </c>
      <c r="O46" s="14"/>
      <c r="P46" s="13"/>
      <c r="Q46" s="13"/>
    </row>
    <row r="47" spans="2:17" ht="15" x14ac:dyDescent="0.25">
      <c r="B47" s="15">
        <v>2015</v>
      </c>
      <c r="C47" s="15">
        <v>5872</v>
      </c>
      <c r="D47" s="15" t="s">
        <v>91</v>
      </c>
      <c r="E47" s="15" t="s">
        <v>97</v>
      </c>
      <c r="F47" s="15" t="s">
        <v>496</v>
      </c>
      <c r="H47" s="24" t="s">
        <v>474</v>
      </c>
      <c r="I47" s="25">
        <v>1797</v>
      </c>
      <c r="J47" s="25">
        <v>57005</v>
      </c>
      <c r="K47" s="25">
        <v>22571</v>
      </c>
      <c r="L47" s="25">
        <v>86</v>
      </c>
      <c r="M47" s="25">
        <v>6457</v>
      </c>
      <c r="N47" s="25">
        <v>87916</v>
      </c>
      <c r="O47" s="14"/>
      <c r="P47" s="13"/>
      <c r="Q47" s="13"/>
    </row>
    <row r="48" spans="2:17" ht="15" x14ac:dyDescent="0.25">
      <c r="B48" s="15">
        <v>2015</v>
      </c>
      <c r="C48" s="15">
        <v>1508</v>
      </c>
      <c r="D48" s="15" t="s">
        <v>91</v>
      </c>
      <c r="E48" s="15" t="s">
        <v>495</v>
      </c>
      <c r="F48" s="15" t="s">
        <v>496</v>
      </c>
      <c r="H48"/>
      <c r="I48"/>
      <c r="J48"/>
      <c r="K48"/>
      <c r="L48" s="14"/>
      <c r="M48" s="14"/>
      <c r="N48" s="14"/>
      <c r="O48" s="14"/>
      <c r="P48" s="13"/>
      <c r="Q48" s="13"/>
    </row>
    <row r="49" spans="2:19" ht="15" x14ac:dyDescent="0.25">
      <c r="B49" s="15">
        <v>2016</v>
      </c>
      <c r="C49" s="15">
        <v>521</v>
      </c>
      <c r="D49" s="15" t="s">
        <v>86</v>
      </c>
      <c r="E49" s="15" t="s">
        <v>488</v>
      </c>
      <c r="F49" s="15" t="s">
        <v>496</v>
      </c>
      <c r="H49"/>
      <c r="I49"/>
      <c r="J49"/>
      <c r="K49"/>
      <c r="L49" s="14"/>
      <c r="M49" s="14"/>
      <c r="N49" s="14"/>
      <c r="O49" s="14"/>
      <c r="P49" s="13"/>
      <c r="Q49" s="13"/>
    </row>
    <row r="50" spans="2:19" ht="15" x14ac:dyDescent="0.25">
      <c r="B50" s="15">
        <v>2016</v>
      </c>
      <c r="C50" s="15">
        <v>14615</v>
      </c>
      <c r="D50" s="15" t="s">
        <v>86</v>
      </c>
      <c r="E50" s="15" t="s">
        <v>489</v>
      </c>
      <c r="F50" s="15" t="s">
        <v>496</v>
      </c>
      <c r="H50"/>
      <c r="I50"/>
      <c r="J50"/>
      <c r="K50"/>
      <c r="L50" s="14"/>
      <c r="M50" s="14"/>
      <c r="N50" s="14"/>
      <c r="O50" s="14"/>
      <c r="P50" s="13"/>
      <c r="Q50" s="13"/>
    </row>
    <row r="51" spans="2:19" ht="15" x14ac:dyDescent="0.25">
      <c r="B51" s="15">
        <v>2016</v>
      </c>
      <c r="C51" s="15">
        <v>6745</v>
      </c>
      <c r="D51" s="15" t="s">
        <v>86</v>
      </c>
      <c r="E51" s="15" t="s">
        <v>490</v>
      </c>
      <c r="F51" s="15" t="s">
        <v>496</v>
      </c>
      <c r="H51"/>
      <c r="I51"/>
      <c r="J51"/>
      <c r="K51"/>
      <c r="L51" s="14"/>
      <c r="M51" s="14"/>
      <c r="N51" s="14"/>
      <c r="O51" s="14"/>
      <c r="P51" s="13"/>
      <c r="Q51" s="13"/>
    </row>
    <row r="52" spans="2:19" ht="15" x14ac:dyDescent="0.25">
      <c r="B52" s="15">
        <v>2016</v>
      </c>
      <c r="C52" s="15">
        <v>0</v>
      </c>
      <c r="D52" s="15" t="s">
        <v>86</v>
      </c>
      <c r="E52" s="15" t="s">
        <v>491</v>
      </c>
      <c r="F52" s="15" t="s">
        <v>496</v>
      </c>
      <c r="H52"/>
      <c r="I52"/>
      <c r="J52"/>
      <c r="K52"/>
      <c r="L52" s="14"/>
      <c r="M52" s="14"/>
      <c r="N52" s="14"/>
      <c r="O52" s="14"/>
      <c r="P52" s="13"/>
      <c r="Q52" s="13"/>
    </row>
    <row r="53" spans="2:19" ht="15" x14ac:dyDescent="0.25">
      <c r="B53" s="15">
        <v>2016</v>
      </c>
      <c r="C53" s="15">
        <v>1403</v>
      </c>
      <c r="D53" s="15" t="s">
        <v>86</v>
      </c>
      <c r="E53" s="15" t="s">
        <v>492</v>
      </c>
      <c r="F53" s="15" t="s">
        <v>496</v>
      </c>
      <c r="H53"/>
      <c r="I53"/>
      <c r="J53"/>
      <c r="K53"/>
      <c r="L53" s="14"/>
      <c r="M53" s="14"/>
      <c r="N53" s="14"/>
      <c r="O53" s="14"/>
      <c r="P53" s="13"/>
      <c r="Q53" s="13"/>
    </row>
    <row r="54" spans="2:19" x14ac:dyDescent="0.2">
      <c r="B54" s="15">
        <v>2016</v>
      </c>
      <c r="C54" s="15">
        <v>2562</v>
      </c>
      <c r="D54" s="15" t="s">
        <v>91</v>
      </c>
      <c r="E54" s="15" t="s">
        <v>493</v>
      </c>
      <c r="F54" s="15" t="s">
        <v>496</v>
      </c>
      <c r="K54" s="14"/>
      <c r="L54" s="14"/>
      <c r="M54" s="14"/>
      <c r="N54" s="14"/>
      <c r="O54" s="14"/>
      <c r="P54" s="13"/>
      <c r="Q54" s="13"/>
    </row>
    <row r="55" spans="2:19" x14ac:dyDescent="0.2">
      <c r="B55" s="15">
        <v>2016</v>
      </c>
      <c r="C55" s="15">
        <v>3970</v>
      </c>
      <c r="D55" s="15" t="s">
        <v>91</v>
      </c>
      <c r="E55" s="15" t="s">
        <v>494</v>
      </c>
      <c r="F55" s="15" t="s">
        <v>496</v>
      </c>
      <c r="M55" s="14"/>
      <c r="N55" s="14"/>
      <c r="O55" s="14"/>
      <c r="P55" s="13"/>
      <c r="Q55" s="13"/>
    </row>
    <row r="56" spans="2:19" x14ac:dyDescent="0.2">
      <c r="B56" s="15">
        <v>2016</v>
      </c>
      <c r="C56" s="15">
        <v>7320</v>
      </c>
      <c r="D56" s="15" t="s">
        <v>91</v>
      </c>
      <c r="E56" s="15" t="s">
        <v>87</v>
      </c>
      <c r="F56" s="15" t="s">
        <v>496</v>
      </c>
      <c r="K56" s="14"/>
      <c r="L56" s="14"/>
      <c r="M56" s="14"/>
      <c r="N56" s="14"/>
      <c r="O56" s="14"/>
      <c r="P56" s="13"/>
      <c r="Q56" s="13"/>
    </row>
    <row r="57" spans="2:19" x14ac:dyDescent="0.2">
      <c r="B57" s="15">
        <v>2016</v>
      </c>
      <c r="C57" s="15">
        <v>8029</v>
      </c>
      <c r="D57" s="15" t="s">
        <v>91</v>
      </c>
      <c r="E57" s="15" t="s">
        <v>97</v>
      </c>
      <c r="F57" s="15" t="s">
        <v>496</v>
      </c>
      <c r="K57" s="14"/>
      <c r="L57" s="14"/>
      <c r="M57" s="14"/>
      <c r="N57" s="14"/>
      <c r="O57" s="14"/>
      <c r="P57" s="13"/>
      <c r="Q57" s="13"/>
    </row>
    <row r="58" spans="2:19" x14ac:dyDescent="0.2">
      <c r="B58" s="15">
        <v>2016</v>
      </c>
      <c r="C58" s="15">
        <v>1403</v>
      </c>
      <c r="D58" s="15" t="s">
        <v>91</v>
      </c>
      <c r="E58" s="15" t="s">
        <v>495</v>
      </c>
      <c r="F58" s="15" t="s">
        <v>496</v>
      </c>
      <c r="K58" s="14"/>
      <c r="L58" s="14"/>
      <c r="M58" s="14"/>
      <c r="N58" s="14"/>
      <c r="O58" s="14"/>
      <c r="P58" s="13"/>
      <c r="Q58" s="13"/>
    </row>
    <row r="59" spans="2:19" x14ac:dyDescent="0.2">
      <c r="B59" s="15">
        <v>2017</v>
      </c>
      <c r="C59" s="15">
        <v>437</v>
      </c>
      <c r="D59" s="15" t="s">
        <v>86</v>
      </c>
      <c r="E59" s="15" t="s">
        <v>488</v>
      </c>
      <c r="F59" s="15" t="s">
        <v>496</v>
      </c>
      <c r="K59" s="14"/>
      <c r="L59" s="14"/>
      <c r="M59" s="14"/>
      <c r="N59" s="14"/>
      <c r="O59" s="14"/>
      <c r="P59" s="13"/>
      <c r="Q59" s="13"/>
    </row>
    <row r="60" spans="2:19" x14ac:dyDescent="0.2">
      <c r="B60" s="15">
        <v>2017</v>
      </c>
      <c r="C60" s="15">
        <v>15102</v>
      </c>
      <c r="D60" s="15" t="s">
        <v>86</v>
      </c>
      <c r="E60" s="15" t="s">
        <v>489</v>
      </c>
      <c r="F60" s="15" t="s">
        <v>496</v>
      </c>
      <c r="H60" s="14"/>
      <c r="I60" s="14"/>
      <c r="J60" s="14"/>
      <c r="K60" s="14"/>
      <c r="L60" s="14"/>
      <c r="M60" s="14"/>
      <c r="N60" s="14"/>
      <c r="O60" s="14"/>
      <c r="P60" s="13"/>
      <c r="Q60" s="13"/>
    </row>
    <row r="61" spans="2:19" x14ac:dyDescent="0.2">
      <c r="B61" s="15">
        <v>2017</v>
      </c>
      <c r="C61" s="15">
        <v>5843</v>
      </c>
      <c r="D61" s="15" t="s">
        <v>86</v>
      </c>
      <c r="E61" s="15" t="s">
        <v>490</v>
      </c>
      <c r="F61" s="15" t="s">
        <v>496</v>
      </c>
      <c r="H61" s="14"/>
      <c r="I61" s="14"/>
      <c r="J61" s="14"/>
      <c r="K61" s="14"/>
      <c r="L61" s="14"/>
      <c r="M61" s="14"/>
      <c r="N61" s="14"/>
      <c r="O61" s="14"/>
      <c r="P61" s="13"/>
      <c r="Q61" s="13"/>
    </row>
    <row r="62" spans="2:19" x14ac:dyDescent="0.2">
      <c r="B62" s="15">
        <v>2017</v>
      </c>
      <c r="C62" s="15">
        <v>-94</v>
      </c>
      <c r="D62" s="15" t="s">
        <v>86</v>
      </c>
      <c r="E62" s="15" t="s">
        <v>491</v>
      </c>
      <c r="F62" s="15" t="s">
        <v>496</v>
      </c>
      <c r="O62" s="14"/>
      <c r="P62" s="13"/>
      <c r="Q62" s="13"/>
    </row>
    <row r="63" spans="2:19" x14ac:dyDescent="0.2">
      <c r="B63" s="15">
        <v>2017</v>
      </c>
      <c r="C63" s="15">
        <v>1637</v>
      </c>
      <c r="D63" s="15" t="s">
        <v>86</v>
      </c>
      <c r="E63" s="15" t="s">
        <v>492</v>
      </c>
      <c r="F63" s="15" t="s">
        <v>496</v>
      </c>
      <c r="O63" s="14"/>
      <c r="P63" s="13"/>
      <c r="Q63" s="13"/>
    </row>
    <row r="64" spans="2:19" ht="15" x14ac:dyDescent="0.25">
      <c r="B64" s="15">
        <v>2017</v>
      </c>
      <c r="C64" s="15">
        <v>2404</v>
      </c>
      <c r="D64" s="15" t="s">
        <v>91</v>
      </c>
      <c r="E64" s="15" t="s">
        <v>493</v>
      </c>
      <c r="F64" s="15" t="s">
        <v>496</v>
      </c>
      <c r="O64"/>
      <c r="P64"/>
      <c r="Q64"/>
      <c r="R64"/>
      <c r="S64"/>
    </row>
    <row r="65" spans="2:19" ht="15" x14ac:dyDescent="0.25">
      <c r="B65" s="15">
        <v>2017</v>
      </c>
      <c r="C65" s="15">
        <v>4507</v>
      </c>
      <c r="D65" s="15" t="s">
        <v>91</v>
      </c>
      <c r="E65" s="15" t="s">
        <v>494</v>
      </c>
      <c r="F65" s="15" t="s">
        <v>496</v>
      </c>
      <c r="O65"/>
      <c r="P65"/>
      <c r="Q65"/>
      <c r="R65"/>
      <c r="S65"/>
    </row>
    <row r="66" spans="2:19" ht="15" x14ac:dyDescent="0.25">
      <c r="B66" s="15">
        <v>2017</v>
      </c>
      <c r="C66" s="15">
        <v>7311</v>
      </c>
      <c r="D66" s="15" t="s">
        <v>91</v>
      </c>
      <c r="E66" s="15" t="s">
        <v>87</v>
      </c>
      <c r="F66" s="15" t="s">
        <v>496</v>
      </c>
      <c r="O66"/>
      <c r="P66"/>
      <c r="Q66"/>
      <c r="R66"/>
      <c r="S66"/>
    </row>
    <row r="67" spans="2:19" ht="15" x14ac:dyDescent="0.25">
      <c r="B67" s="15">
        <v>2017</v>
      </c>
      <c r="C67" s="15">
        <v>7066</v>
      </c>
      <c r="D67" s="15" t="s">
        <v>91</v>
      </c>
      <c r="E67" s="15" t="s">
        <v>97</v>
      </c>
      <c r="F67" s="15" t="s">
        <v>496</v>
      </c>
      <c r="O67"/>
      <c r="P67"/>
      <c r="Q67"/>
      <c r="R67"/>
      <c r="S67"/>
    </row>
    <row r="68" spans="2:19" ht="15" x14ac:dyDescent="0.25">
      <c r="B68" s="15">
        <v>2017</v>
      </c>
      <c r="C68" s="15">
        <v>1636</v>
      </c>
      <c r="D68" s="15" t="s">
        <v>91</v>
      </c>
      <c r="E68" s="15" t="s">
        <v>495</v>
      </c>
      <c r="F68" s="15" t="s">
        <v>496</v>
      </c>
      <c r="O68"/>
      <c r="P68"/>
      <c r="Q68"/>
      <c r="R68"/>
      <c r="S68"/>
    </row>
    <row r="69" spans="2:19" ht="15" x14ac:dyDescent="0.25">
      <c r="B69" s="15">
        <v>2018</v>
      </c>
      <c r="C69" s="15">
        <v>354</v>
      </c>
      <c r="D69" s="15" t="s">
        <v>86</v>
      </c>
      <c r="E69" s="15" t="s">
        <v>488</v>
      </c>
      <c r="F69" s="15" t="s">
        <v>496</v>
      </c>
      <c r="O69"/>
      <c r="P69"/>
      <c r="Q69"/>
      <c r="R69"/>
      <c r="S69"/>
    </row>
    <row r="70" spans="2:19" ht="15" x14ac:dyDescent="0.25">
      <c r="B70" s="15">
        <v>2018</v>
      </c>
      <c r="C70" s="15">
        <v>14566</v>
      </c>
      <c r="D70" s="15" t="s">
        <v>86</v>
      </c>
      <c r="E70" s="15" t="s">
        <v>489</v>
      </c>
      <c r="F70" s="15" t="s">
        <v>496</v>
      </c>
      <c r="O70"/>
      <c r="P70"/>
      <c r="Q70"/>
      <c r="R70"/>
      <c r="S70"/>
    </row>
    <row r="71" spans="2:19" ht="15" x14ac:dyDescent="0.25">
      <c r="B71" s="15">
        <v>2018</v>
      </c>
      <c r="C71" s="15">
        <v>5811</v>
      </c>
      <c r="D71" s="15" t="s">
        <v>86</v>
      </c>
      <c r="E71" s="15" t="s">
        <v>490</v>
      </c>
      <c r="F71" s="15" t="s">
        <v>496</v>
      </c>
      <c r="H71"/>
      <c r="I71"/>
      <c r="J71"/>
      <c r="K71"/>
      <c r="L71"/>
      <c r="M71"/>
      <c r="N71"/>
      <c r="O71"/>
      <c r="P71"/>
      <c r="Q71"/>
      <c r="R71"/>
      <c r="S71"/>
    </row>
    <row r="72" spans="2:19" ht="15" x14ac:dyDescent="0.25">
      <c r="B72" s="15">
        <v>2018</v>
      </c>
      <c r="C72" s="15">
        <v>-17</v>
      </c>
      <c r="D72" s="15" t="s">
        <v>86</v>
      </c>
      <c r="E72" s="15" t="s">
        <v>491</v>
      </c>
      <c r="F72" s="15" t="s">
        <v>496</v>
      </c>
      <c r="H72"/>
      <c r="I72"/>
      <c r="J72"/>
      <c r="K72" s="14"/>
      <c r="L72" s="14"/>
      <c r="M72" s="14"/>
      <c r="N72" s="14"/>
      <c r="O72" s="14"/>
      <c r="P72" s="13"/>
      <c r="Q72" s="13"/>
    </row>
    <row r="73" spans="2:19" ht="15" x14ac:dyDescent="0.25">
      <c r="B73" s="15">
        <v>2018</v>
      </c>
      <c r="C73" s="15">
        <v>1909</v>
      </c>
      <c r="D73" s="15" t="s">
        <v>86</v>
      </c>
      <c r="E73" s="15" t="s">
        <v>492</v>
      </c>
      <c r="F73" s="15" t="s">
        <v>496</v>
      </c>
      <c r="H73"/>
      <c r="I73"/>
      <c r="J73"/>
      <c r="K73" s="14"/>
      <c r="L73" s="14"/>
      <c r="M73" s="14"/>
      <c r="N73" s="14"/>
      <c r="O73" s="14"/>
      <c r="P73" s="13"/>
      <c r="Q73" s="13"/>
    </row>
    <row r="74" spans="2:19" ht="15" x14ac:dyDescent="0.25">
      <c r="B74" s="15">
        <v>2018</v>
      </c>
      <c r="C74" s="15">
        <v>2804</v>
      </c>
      <c r="D74" s="15" t="s">
        <v>91</v>
      </c>
      <c r="E74" s="15" t="s">
        <v>493</v>
      </c>
      <c r="F74" s="15" t="s">
        <v>496</v>
      </c>
      <c r="H74"/>
      <c r="I74"/>
      <c r="J74"/>
      <c r="K74" s="14"/>
      <c r="L74" s="14"/>
      <c r="M74" s="14"/>
      <c r="N74" s="14"/>
      <c r="O74" s="14"/>
      <c r="P74" s="13"/>
      <c r="Q74" s="13"/>
    </row>
    <row r="75" spans="2:19" ht="15" x14ac:dyDescent="0.25">
      <c r="B75" s="15">
        <v>2018</v>
      </c>
      <c r="C75" s="15">
        <v>4518</v>
      </c>
      <c r="D75" s="15" t="s">
        <v>91</v>
      </c>
      <c r="E75" s="15" t="s">
        <v>494</v>
      </c>
      <c r="F75" s="15" t="s">
        <v>496</v>
      </c>
      <c r="H75"/>
      <c r="I75"/>
      <c r="J75"/>
      <c r="K75" s="14"/>
      <c r="L75" s="14"/>
      <c r="M75" s="14"/>
      <c r="N75" s="14"/>
      <c r="O75" s="14"/>
      <c r="P75" s="13"/>
      <c r="Q75" s="13"/>
    </row>
    <row r="76" spans="2:19" ht="15" x14ac:dyDescent="0.25">
      <c r="B76" s="15">
        <v>2018</v>
      </c>
      <c r="C76" s="15">
        <v>6501</v>
      </c>
      <c r="D76" s="15" t="s">
        <v>91</v>
      </c>
      <c r="E76" s="15" t="s">
        <v>87</v>
      </c>
      <c r="F76" s="15" t="s">
        <v>496</v>
      </c>
      <c r="H76"/>
      <c r="I76"/>
      <c r="J76"/>
      <c r="K76" s="14"/>
      <c r="L76" s="14"/>
      <c r="M76" s="14"/>
      <c r="N76" s="14"/>
      <c r="O76" s="14"/>
      <c r="P76" s="13"/>
      <c r="Q76" s="13"/>
    </row>
    <row r="77" spans="2:19" ht="15" x14ac:dyDescent="0.25">
      <c r="B77" s="15">
        <v>2018</v>
      </c>
      <c r="C77" s="15">
        <v>6890</v>
      </c>
      <c r="D77" s="15" t="s">
        <v>91</v>
      </c>
      <c r="E77" s="15" t="s">
        <v>97</v>
      </c>
      <c r="F77" s="15" t="s">
        <v>496</v>
      </c>
      <c r="H77"/>
      <c r="I77"/>
      <c r="J77"/>
      <c r="K77" s="14"/>
      <c r="L77" s="14"/>
      <c r="M77" s="14"/>
      <c r="N77" s="14"/>
      <c r="O77" s="14"/>
      <c r="P77" s="13"/>
      <c r="Q77" s="13"/>
    </row>
    <row r="78" spans="2:19" ht="15" x14ac:dyDescent="0.25">
      <c r="B78" s="15">
        <v>2018</v>
      </c>
      <c r="C78" s="15">
        <v>1909</v>
      </c>
      <c r="D78" s="15" t="s">
        <v>91</v>
      </c>
      <c r="E78" s="15" t="s">
        <v>495</v>
      </c>
      <c r="F78" s="15" t="s">
        <v>496</v>
      </c>
      <c r="H78"/>
      <c r="I78"/>
      <c r="J78"/>
      <c r="K78" s="14"/>
      <c r="L78" s="14"/>
      <c r="M78" s="14"/>
      <c r="N78" s="14"/>
      <c r="O78" s="14"/>
      <c r="P78" s="13"/>
      <c r="Q78" s="13"/>
    </row>
    <row r="79" spans="2:19" ht="15" x14ac:dyDescent="0.25">
      <c r="H79"/>
      <c r="I79"/>
      <c r="J79"/>
      <c r="K79" s="14"/>
      <c r="L79" s="14"/>
      <c r="M79" s="14"/>
      <c r="N79" s="14"/>
      <c r="O79" s="14"/>
      <c r="P79" s="13"/>
      <c r="Q79" s="13"/>
    </row>
    <row r="80" spans="2:19" ht="15" x14ac:dyDescent="0.25">
      <c r="H80"/>
      <c r="I80"/>
      <c r="J80"/>
      <c r="K80" s="14"/>
      <c r="L80" s="14"/>
      <c r="M80" s="14"/>
      <c r="N80" s="14"/>
      <c r="O80" s="14"/>
      <c r="P80" s="13"/>
      <c r="Q80" s="13"/>
    </row>
    <row r="81" spans="8:17" ht="15" x14ac:dyDescent="0.25">
      <c r="H81"/>
      <c r="I81"/>
      <c r="J81"/>
      <c r="K81" s="14"/>
      <c r="L81" s="14"/>
      <c r="M81" s="14"/>
      <c r="N81" s="14"/>
      <c r="O81" s="14"/>
      <c r="P81" s="13"/>
      <c r="Q81" s="13"/>
    </row>
    <row r="82" spans="8:17" x14ac:dyDescent="0.2">
      <c r="H82" s="14"/>
      <c r="I82" s="14"/>
      <c r="J82" s="14"/>
      <c r="K82" s="14"/>
      <c r="L82" s="14"/>
      <c r="M82" s="14"/>
      <c r="N82" s="14"/>
      <c r="O82" s="14"/>
      <c r="P82" s="13"/>
      <c r="Q82" s="13"/>
    </row>
    <row r="83" spans="8:17" x14ac:dyDescent="0.2">
      <c r="H83" s="13"/>
      <c r="I83" s="13"/>
      <c r="J83" s="13"/>
      <c r="K83" s="13"/>
      <c r="L83" s="13"/>
      <c r="M83" s="13"/>
      <c r="N83" s="13"/>
      <c r="O83" s="13"/>
      <c r="P83" s="13"/>
      <c r="Q83" s="13"/>
    </row>
    <row r="84" spans="8:17" x14ac:dyDescent="0.2">
      <c r="H84" s="13"/>
      <c r="I84" s="13"/>
      <c r="J84" s="13"/>
      <c r="K84" s="13"/>
      <c r="L84" s="13"/>
      <c r="M84" s="13"/>
      <c r="N84" s="13"/>
      <c r="O84" s="13"/>
      <c r="P84" s="13"/>
      <c r="Q84" s="13"/>
    </row>
    <row r="85" spans="8:17" x14ac:dyDescent="0.2">
      <c r="H85" s="13"/>
      <c r="I85" s="13"/>
      <c r="J85" s="13"/>
      <c r="K85" s="13"/>
      <c r="L85" s="13"/>
      <c r="M85" s="13"/>
      <c r="N85" s="13"/>
      <c r="O85" s="13"/>
      <c r="P85" s="13"/>
      <c r="Q85" s="13"/>
    </row>
    <row r="86" spans="8:17" x14ac:dyDescent="0.2">
      <c r="H86" s="13"/>
      <c r="I86" s="13"/>
      <c r="J86" s="13"/>
      <c r="K86" s="13"/>
      <c r="L86" s="13"/>
      <c r="M86" s="13"/>
      <c r="N86" s="13"/>
      <c r="O86" s="13"/>
      <c r="P86" s="13"/>
      <c r="Q86" s="13"/>
    </row>
    <row r="87" spans="8:17" x14ac:dyDescent="0.2">
      <c r="H87" s="13"/>
      <c r="I87" s="13"/>
      <c r="J87" s="13"/>
      <c r="K87" s="13"/>
      <c r="L87" s="13"/>
      <c r="M87" s="13"/>
      <c r="N87" s="13"/>
      <c r="O87" s="13"/>
      <c r="P87" s="13"/>
      <c r="Q87" s="13"/>
    </row>
    <row r="88" spans="8:17" x14ac:dyDescent="0.2">
      <c r="H88" s="13"/>
      <c r="I88" s="13"/>
      <c r="J88" s="13"/>
      <c r="K88" s="13"/>
      <c r="L88" s="13"/>
      <c r="M88" s="13"/>
      <c r="N88" s="13"/>
      <c r="O88" s="13"/>
      <c r="P88" s="13"/>
      <c r="Q88" s="13"/>
    </row>
    <row r="89" spans="8:17" x14ac:dyDescent="0.2">
      <c r="H89" s="13"/>
      <c r="I89" s="13"/>
      <c r="J89" s="13"/>
      <c r="K89" s="13"/>
      <c r="L89" s="13"/>
      <c r="M89" s="13"/>
      <c r="N89" s="13"/>
      <c r="O89" s="13"/>
      <c r="P89" s="13"/>
      <c r="Q89" s="13"/>
    </row>
    <row r="90" spans="8:17" x14ac:dyDescent="0.2">
      <c r="H90" s="13"/>
      <c r="I90" s="13"/>
      <c r="J90" s="13"/>
      <c r="K90" s="13"/>
      <c r="L90" s="13"/>
      <c r="M90" s="13"/>
      <c r="N90" s="13"/>
      <c r="O90" s="13"/>
      <c r="P90" s="13"/>
      <c r="Q90" s="13"/>
    </row>
    <row r="91" spans="8:17" x14ac:dyDescent="0.2">
      <c r="H91" s="13"/>
      <c r="I91" s="13"/>
      <c r="J91" s="13"/>
      <c r="K91" s="13"/>
      <c r="L91" s="13"/>
      <c r="M91" s="13"/>
      <c r="N91" s="13"/>
      <c r="O91" s="13"/>
      <c r="P91" s="13"/>
      <c r="Q91" s="13"/>
    </row>
    <row r="92" spans="8:17" x14ac:dyDescent="0.2">
      <c r="H92" s="13"/>
      <c r="I92" s="13"/>
      <c r="J92" s="13"/>
      <c r="K92" s="13"/>
      <c r="L92" s="13"/>
      <c r="M92" s="13"/>
      <c r="N92" s="13"/>
      <c r="O92" s="13"/>
      <c r="P92" s="13"/>
      <c r="Q92" s="13"/>
    </row>
  </sheetData>
  <pageMargins left="0.7" right="0.7" top="0.75" bottom="0.75" header="0.3" footer="0.3"/>
  <pageSetup paperSize="9" orientation="portrait" r:id="rId3"/>
  <tableParts count="2">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E7206-879E-4015-B38C-35E7BDC5CACA}">
  <sheetPr>
    <tabColor theme="5" tint="0.59999389629810485"/>
  </sheetPr>
  <dimension ref="B1:W92"/>
  <sheetViews>
    <sheetView showGridLines="0" workbookViewId="0">
      <selection activeCell="J1" sqref="J1"/>
    </sheetView>
  </sheetViews>
  <sheetFormatPr defaultColWidth="9.140625" defaultRowHeight="14.25" x14ac:dyDescent="0.2"/>
  <cols>
    <col min="1" max="3" width="9.140625" style="15"/>
    <col min="4" max="4" width="18.5703125" style="15" bestFit="1" customWidth="1"/>
    <col min="5" max="5" width="17.28515625" style="15" customWidth="1"/>
    <col min="6" max="9" width="9.140625" style="15"/>
    <col min="10" max="10" width="18.28515625" style="15" bestFit="1" customWidth="1"/>
    <col min="11" max="11" width="21.140625" style="15" bestFit="1" customWidth="1"/>
    <col min="12" max="12" width="9.7109375" style="15" bestFit="1" customWidth="1"/>
    <col min="13" max="13" width="6.28515625" style="15" bestFit="1" customWidth="1"/>
    <col min="14" max="14" width="10.28515625" style="15" bestFit="1" customWidth="1"/>
    <col min="15" max="15" width="11" style="15" bestFit="1" customWidth="1"/>
    <col min="16" max="16" width="8.7109375" style="15" bestFit="1" customWidth="1"/>
    <col min="17" max="17" width="14.140625" style="15" bestFit="1" customWidth="1"/>
    <col min="18" max="18" width="12.7109375" style="15" bestFit="1" customWidth="1"/>
    <col min="19" max="19" width="18.28515625" style="15" bestFit="1" customWidth="1"/>
    <col min="20" max="20" width="17.7109375" style="15" bestFit="1" customWidth="1"/>
    <col min="21" max="21" width="12.7109375" style="15" bestFit="1" customWidth="1"/>
    <col min="22" max="22" width="9.5703125" style="15" bestFit="1" customWidth="1"/>
    <col min="23" max="23" width="18.28515625" style="15" bestFit="1" customWidth="1"/>
    <col min="24" max="16384" width="9.140625" style="15"/>
  </cols>
  <sheetData>
    <row r="1" spans="2:23" x14ac:dyDescent="0.2">
      <c r="B1" s="15" t="s">
        <v>868</v>
      </c>
      <c r="J1" s="15" t="s">
        <v>871</v>
      </c>
    </row>
    <row r="2" spans="2:23" ht="15" x14ac:dyDescent="0.25">
      <c r="B2" s="15" t="s">
        <v>480</v>
      </c>
      <c r="C2" s="15" t="s">
        <v>559</v>
      </c>
      <c r="D2" s="15" t="s">
        <v>484</v>
      </c>
      <c r="E2" s="15" t="s">
        <v>465</v>
      </c>
      <c r="J2" s="23" t="s">
        <v>568</v>
      </c>
      <c r="K2" s="23" t="s">
        <v>475</v>
      </c>
      <c r="L2"/>
      <c r="M2"/>
      <c r="N2"/>
      <c r="O2"/>
      <c r="P2"/>
      <c r="Q2"/>
      <c r="R2"/>
      <c r="S2"/>
      <c r="T2"/>
      <c r="U2"/>
      <c r="V2"/>
      <c r="W2"/>
    </row>
    <row r="3" spans="2:23" ht="18.75" x14ac:dyDescent="0.35">
      <c r="B3" s="15">
        <v>2015</v>
      </c>
      <c r="C3" s="15">
        <v>5955017</v>
      </c>
      <c r="D3" s="15" t="s">
        <v>527</v>
      </c>
      <c r="E3" s="15" t="s">
        <v>561</v>
      </c>
      <c r="J3" s="23" t="s">
        <v>473</v>
      </c>
      <c r="K3" t="s">
        <v>539</v>
      </c>
      <c r="L3" t="s">
        <v>540</v>
      </c>
      <c r="M3" t="s">
        <v>565</v>
      </c>
      <c r="N3" t="s">
        <v>154</v>
      </c>
      <c r="O3" t="s">
        <v>474</v>
      </c>
      <c r="P3"/>
      <c r="Q3"/>
      <c r="R3"/>
      <c r="S3"/>
      <c r="T3"/>
      <c r="U3"/>
      <c r="V3"/>
      <c r="W3"/>
    </row>
    <row r="4" spans="2:23" ht="18.75" x14ac:dyDescent="0.35">
      <c r="B4" s="15">
        <v>2015</v>
      </c>
      <c r="C4" s="15">
        <v>221879</v>
      </c>
      <c r="D4" s="15" t="s">
        <v>560</v>
      </c>
      <c r="E4" s="15" t="s">
        <v>561</v>
      </c>
      <c r="J4" s="24">
        <v>2015</v>
      </c>
      <c r="K4" s="25">
        <v>2637</v>
      </c>
      <c r="L4" s="25">
        <v>177</v>
      </c>
      <c r="M4" s="25">
        <v>7</v>
      </c>
      <c r="N4" s="25">
        <v>1229</v>
      </c>
      <c r="O4" s="25">
        <v>4050</v>
      </c>
      <c r="P4"/>
      <c r="Q4"/>
      <c r="R4"/>
      <c r="S4"/>
      <c r="T4"/>
      <c r="U4"/>
      <c r="V4"/>
      <c r="W4"/>
    </row>
    <row r="5" spans="2:23" ht="18.75" x14ac:dyDescent="0.35">
      <c r="B5" s="15">
        <v>2015</v>
      </c>
      <c r="C5" s="15">
        <v>2637</v>
      </c>
      <c r="D5" s="15" t="s">
        <v>563</v>
      </c>
      <c r="E5" s="15" t="s">
        <v>562</v>
      </c>
      <c r="J5" s="24">
        <v>2016</v>
      </c>
      <c r="K5" s="25">
        <v>4618</v>
      </c>
      <c r="L5" s="25">
        <v>837</v>
      </c>
      <c r="M5" s="25">
        <v>106</v>
      </c>
      <c r="N5" s="25">
        <v>1029</v>
      </c>
      <c r="O5" s="25">
        <v>6590</v>
      </c>
      <c r="P5"/>
      <c r="Q5"/>
      <c r="R5"/>
      <c r="S5"/>
      <c r="T5"/>
      <c r="U5"/>
      <c r="V5"/>
      <c r="W5"/>
    </row>
    <row r="6" spans="2:23" ht="18.75" x14ac:dyDescent="0.35">
      <c r="B6" s="15">
        <v>2015</v>
      </c>
      <c r="C6" s="15">
        <v>177</v>
      </c>
      <c r="D6" s="15" t="s">
        <v>564</v>
      </c>
      <c r="E6" s="15" t="s">
        <v>562</v>
      </c>
      <c r="J6" s="24">
        <v>2017</v>
      </c>
      <c r="K6" s="25">
        <v>4408</v>
      </c>
      <c r="L6" s="25">
        <v>858</v>
      </c>
      <c r="M6" s="25">
        <v>147</v>
      </c>
      <c r="N6" s="25">
        <v>1244</v>
      </c>
      <c r="O6" s="25">
        <v>6657</v>
      </c>
      <c r="P6"/>
      <c r="Q6"/>
      <c r="R6"/>
      <c r="S6"/>
      <c r="T6"/>
      <c r="U6"/>
      <c r="V6"/>
      <c r="W6"/>
    </row>
    <row r="7" spans="2:23" ht="15" x14ac:dyDescent="0.25">
      <c r="B7" s="15">
        <v>2015</v>
      </c>
      <c r="C7" s="15">
        <v>7</v>
      </c>
      <c r="D7" s="15" t="s">
        <v>565</v>
      </c>
      <c r="E7" s="15" t="s">
        <v>562</v>
      </c>
      <c r="J7" s="24">
        <v>2018</v>
      </c>
      <c r="K7" s="25">
        <v>4069</v>
      </c>
      <c r="L7" s="25">
        <v>924</v>
      </c>
      <c r="M7" s="25">
        <v>142</v>
      </c>
      <c r="N7" s="25">
        <v>1260</v>
      </c>
      <c r="O7" s="25">
        <v>6395</v>
      </c>
      <c r="P7"/>
      <c r="Q7"/>
      <c r="R7"/>
      <c r="S7"/>
      <c r="T7"/>
      <c r="U7"/>
      <c r="V7"/>
      <c r="W7"/>
    </row>
    <row r="8" spans="2:23" ht="15" x14ac:dyDescent="0.25">
      <c r="B8" s="15">
        <v>2015</v>
      </c>
      <c r="C8" s="15">
        <v>1229</v>
      </c>
      <c r="D8" s="15" t="s">
        <v>154</v>
      </c>
      <c r="E8" s="15" t="s">
        <v>562</v>
      </c>
      <c r="J8" s="24" t="s">
        <v>474</v>
      </c>
      <c r="K8" s="25">
        <v>15732</v>
      </c>
      <c r="L8" s="25">
        <v>2796</v>
      </c>
      <c r="M8" s="25">
        <v>402</v>
      </c>
      <c r="N8" s="25">
        <v>4762</v>
      </c>
      <c r="O8" s="25">
        <v>23692</v>
      </c>
      <c r="P8"/>
      <c r="Q8"/>
      <c r="R8"/>
      <c r="S8"/>
      <c r="T8"/>
      <c r="U8"/>
      <c r="V8"/>
      <c r="W8"/>
    </row>
    <row r="9" spans="2:23" ht="15" x14ac:dyDescent="0.25">
      <c r="B9" s="15">
        <v>2015</v>
      </c>
      <c r="C9" s="15">
        <v>352.3</v>
      </c>
      <c r="D9" s="15" t="s">
        <v>570</v>
      </c>
      <c r="E9" s="15" t="s">
        <v>569</v>
      </c>
      <c r="J9"/>
      <c r="K9"/>
      <c r="L9"/>
      <c r="M9"/>
      <c r="N9"/>
      <c r="O9"/>
      <c r="P9"/>
      <c r="Q9"/>
      <c r="R9"/>
      <c r="S9"/>
      <c r="T9"/>
      <c r="U9"/>
      <c r="V9"/>
      <c r="W9"/>
    </row>
    <row r="10" spans="2:23" ht="15" x14ac:dyDescent="0.25">
      <c r="B10" s="15">
        <v>2015</v>
      </c>
      <c r="C10" s="15">
        <v>273.10000000000002</v>
      </c>
      <c r="D10" s="15" t="s">
        <v>571</v>
      </c>
      <c r="E10" s="15" t="s">
        <v>569</v>
      </c>
      <c r="J10"/>
      <c r="K10"/>
      <c r="L10"/>
      <c r="M10"/>
      <c r="N10"/>
      <c r="O10"/>
    </row>
    <row r="11" spans="2:23" ht="15" x14ac:dyDescent="0.25">
      <c r="B11" s="15">
        <v>2015</v>
      </c>
      <c r="C11" s="15">
        <v>319</v>
      </c>
      <c r="D11" s="15" t="s">
        <v>572</v>
      </c>
      <c r="E11" s="15" t="s">
        <v>569</v>
      </c>
      <c r="J11"/>
      <c r="K11"/>
      <c r="L11"/>
    </row>
    <row r="12" spans="2:23" ht="18.75" x14ac:dyDescent="0.35">
      <c r="B12" s="15">
        <v>2016</v>
      </c>
      <c r="C12" s="15">
        <v>7767959</v>
      </c>
      <c r="D12" s="15" t="s">
        <v>527</v>
      </c>
      <c r="E12" s="15" t="s">
        <v>561</v>
      </c>
      <c r="J12"/>
      <c r="K12"/>
      <c r="L12"/>
    </row>
    <row r="13" spans="2:23" ht="18.75" x14ac:dyDescent="0.35">
      <c r="B13" s="15">
        <v>2016</v>
      </c>
      <c r="C13" s="15">
        <v>330732</v>
      </c>
      <c r="D13" s="15" t="s">
        <v>560</v>
      </c>
      <c r="E13" s="15" t="s">
        <v>561</v>
      </c>
      <c r="J13"/>
      <c r="K13"/>
      <c r="L13"/>
    </row>
    <row r="14" spans="2:23" ht="18.75" x14ac:dyDescent="0.35">
      <c r="B14" s="15">
        <v>2016</v>
      </c>
      <c r="C14" s="15">
        <v>4618</v>
      </c>
      <c r="D14" s="15" t="s">
        <v>563</v>
      </c>
      <c r="E14" s="15" t="s">
        <v>562</v>
      </c>
      <c r="J14"/>
      <c r="K14"/>
      <c r="L14"/>
    </row>
    <row r="15" spans="2:23" ht="18.75" x14ac:dyDescent="0.35">
      <c r="B15" s="15">
        <v>2016</v>
      </c>
      <c r="C15" s="15">
        <v>837</v>
      </c>
      <c r="D15" s="15" t="s">
        <v>564</v>
      </c>
      <c r="E15" s="15" t="s">
        <v>562</v>
      </c>
      <c r="J15"/>
      <c r="K15"/>
      <c r="L15"/>
    </row>
    <row r="16" spans="2:23" ht="15" x14ac:dyDescent="0.25">
      <c r="B16" s="15">
        <v>2016</v>
      </c>
      <c r="C16" s="15">
        <v>106</v>
      </c>
      <c r="D16" s="15" t="s">
        <v>565</v>
      </c>
      <c r="E16" s="15" t="s">
        <v>562</v>
      </c>
      <c r="J16"/>
      <c r="K16"/>
      <c r="L16"/>
    </row>
    <row r="17" spans="2:14" ht="15" x14ac:dyDescent="0.25">
      <c r="B17" s="15">
        <v>2016</v>
      </c>
      <c r="C17" s="15">
        <v>1029</v>
      </c>
      <c r="D17" s="15" t="s">
        <v>154</v>
      </c>
      <c r="E17" s="15" t="s">
        <v>562</v>
      </c>
      <c r="J17"/>
      <c r="K17"/>
      <c r="L17"/>
    </row>
    <row r="18" spans="2:14" ht="15" x14ac:dyDescent="0.25">
      <c r="B18" s="15">
        <v>2016</v>
      </c>
      <c r="C18" s="15">
        <v>351.4</v>
      </c>
      <c r="D18" s="15" t="s">
        <v>570</v>
      </c>
      <c r="E18" s="15" t="s">
        <v>569</v>
      </c>
      <c r="J18" s="11"/>
      <c r="K18" s="2"/>
      <c r="L18" s="2"/>
      <c r="M18" s="2"/>
      <c r="N18" s="2"/>
    </row>
    <row r="19" spans="2:14" x14ac:dyDescent="0.2">
      <c r="B19" s="15">
        <v>2016</v>
      </c>
      <c r="C19" s="15">
        <v>296.7</v>
      </c>
      <c r="D19" s="15" t="s">
        <v>571</v>
      </c>
      <c r="E19" s="15" t="s">
        <v>569</v>
      </c>
      <c r="J19" s="2"/>
      <c r="K19" s="2"/>
      <c r="L19" s="2"/>
      <c r="M19" s="2"/>
      <c r="N19" s="2"/>
    </row>
    <row r="20" spans="2:14" x14ac:dyDescent="0.2">
      <c r="B20" s="15">
        <v>2016</v>
      </c>
      <c r="C20" s="15">
        <v>333.2</v>
      </c>
      <c r="D20" s="15" t="s">
        <v>572</v>
      </c>
      <c r="E20" s="15" t="s">
        <v>569</v>
      </c>
      <c r="J20" s="2"/>
      <c r="K20" s="2"/>
      <c r="L20" s="2"/>
      <c r="M20" s="2"/>
      <c r="N20" s="2"/>
    </row>
    <row r="21" spans="2:14" ht="18.75" x14ac:dyDescent="0.35">
      <c r="B21" s="15">
        <v>2017</v>
      </c>
      <c r="C21" s="15">
        <v>7678742</v>
      </c>
      <c r="D21" s="15" t="s">
        <v>527</v>
      </c>
      <c r="E21" s="15" t="s">
        <v>561</v>
      </c>
      <c r="J21" s="2"/>
      <c r="K21" s="2"/>
      <c r="L21" s="2"/>
      <c r="M21" s="2"/>
      <c r="N21" s="2"/>
    </row>
    <row r="22" spans="2:14" ht="18.75" x14ac:dyDescent="0.35">
      <c r="B22" s="15">
        <v>2017</v>
      </c>
      <c r="C22" s="15">
        <v>479651</v>
      </c>
      <c r="D22" s="15" t="s">
        <v>560</v>
      </c>
      <c r="E22" s="15" t="s">
        <v>561</v>
      </c>
    </row>
    <row r="23" spans="2:14" ht="18.75" x14ac:dyDescent="0.35">
      <c r="B23" s="15">
        <v>2017</v>
      </c>
      <c r="C23" s="15">
        <v>4408</v>
      </c>
      <c r="D23" s="15" t="s">
        <v>563</v>
      </c>
      <c r="E23" s="15" t="s">
        <v>562</v>
      </c>
    </row>
    <row r="24" spans="2:14" ht="18.75" x14ac:dyDescent="0.35">
      <c r="B24" s="15">
        <v>2017</v>
      </c>
      <c r="C24" s="15">
        <v>858</v>
      </c>
      <c r="D24" s="15" t="s">
        <v>564</v>
      </c>
      <c r="E24" s="15" t="s">
        <v>562</v>
      </c>
    </row>
    <row r="25" spans="2:14" x14ac:dyDescent="0.2">
      <c r="B25" s="15">
        <v>2017</v>
      </c>
      <c r="C25" s="15">
        <v>147</v>
      </c>
      <c r="D25" s="15" t="s">
        <v>565</v>
      </c>
      <c r="E25" s="15" t="s">
        <v>562</v>
      </c>
    </row>
    <row r="26" spans="2:14" x14ac:dyDescent="0.2">
      <c r="B26" s="15">
        <v>2017</v>
      </c>
      <c r="C26" s="15">
        <v>1244</v>
      </c>
      <c r="D26" s="15" t="s">
        <v>154</v>
      </c>
      <c r="E26" s="15" t="s">
        <v>562</v>
      </c>
    </row>
    <row r="27" spans="2:14" x14ac:dyDescent="0.2">
      <c r="B27" s="15">
        <v>2017</v>
      </c>
      <c r="C27" s="15">
        <v>361.3</v>
      </c>
      <c r="D27" s="15" t="s">
        <v>570</v>
      </c>
      <c r="E27" s="15" t="s">
        <v>569</v>
      </c>
    </row>
    <row r="28" spans="2:14" x14ac:dyDescent="0.2">
      <c r="B28" s="15">
        <v>2017</v>
      </c>
      <c r="C28" s="15">
        <v>314</v>
      </c>
      <c r="D28" s="15" t="s">
        <v>571</v>
      </c>
      <c r="E28" s="15" t="s">
        <v>569</v>
      </c>
    </row>
    <row r="29" spans="2:14" x14ac:dyDescent="0.2">
      <c r="B29" s="15">
        <v>2017</v>
      </c>
      <c r="C29" s="15">
        <v>364.6</v>
      </c>
      <c r="D29" s="15" t="s">
        <v>572</v>
      </c>
      <c r="E29" s="15" t="s">
        <v>569</v>
      </c>
    </row>
    <row r="30" spans="2:14" ht="18.75" x14ac:dyDescent="0.35">
      <c r="B30" s="15">
        <v>2018</v>
      </c>
      <c r="C30" s="15">
        <v>6968615</v>
      </c>
      <c r="D30" s="15" t="s">
        <v>527</v>
      </c>
      <c r="E30" s="15" t="s">
        <v>561</v>
      </c>
    </row>
    <row r="31" spans="2:14" ht="18.75" x14ac:dyDescent="0.35">
      <c r="B31" s="15">
        <v>2018</v>
      </c>
      <c r="C31" s="15">
        <v>417954</v>
      </c>
      <c r="D31" s="15" t="s">
        <v>560</v>
      </c>
      <c r="E31" s="15" t="s">
        <v>561</v>
      </c>
    </row>
    <row r="32" spans="2:14" ht="18.75" x14ac:dyDescent="0.35">
      <c r="B32" s="15">
        <v>2018</v>
      </c>
      <c r="C32" s="15">
        <v>4069</v>
      </c>
      <c r="D32" s="15" t="s">
        <v>563</v>
      </c>
      <c r="E32" s="15" t="s">
        <v>562</v>
      </c>
    </row>
    <row r="33" spans="2:19" ht="18.75" x14ac:dyDescent="0.35">
      <c r="B33" s="15">
        <v>2018</v>
      </c>
      <c r="C33" s="15">
        <v>924</v>
      </c>
      <c r="D33" s="15" t="s">
        <v>564</v>
      </c>
      <c r="E33" s="15" t="s">
        <v>562</v>
      </c>
    </row>
    <row r="34" spans="2:19" x14ac:dyDescent="0.2">
      <c r="B34" s="15">
        <v>2018</v>
      </c>
      <c r="C34" s="15">
        <v>142</v>
      </c>
      <c r="D34" s="15" t="s">
        <v>565</v>
      </c>
      <c r="E34" s="15" t="s">
        <v>562</v>
      </c>
    </row>
    <row r="35" spans="2:19" x14ac:dyDescent="0.2">
      <c r="B35" s="15">
        <v>2018</v>
      </c>
      <c r="C35" s="15">
        <v>1260</v>
      </c>
      <c r="D35" s="15" t="s">
        <v>154</v>
      </c>
      <c r="E35" s="15" t="s">
        <v>562</v>
      </c>
    </row>
    <row r="36" spans="2:19" x14ac:dyDescent="0.2">
      <c r="B36" s="15">
        <v>2018</v>
      </c>
      <c r="C36" s="15">
        <v>355.4</v>
      </c>
      <c r="D36" s="15" t="s">
        <v>570</v>
      </c>
      <c r="E36" s="15" t="s">
        <v>569</v>
      </c>
    </row>
    <row r="37" spans="2:19" x14ac:dyDescent="0.2">
      <c r="B37" s="15">
        <v>2018</v>
      </c>
      <c r="C37" s="15">
        <v>293.60000000000002</v>
      </c>
      <c r="D37" s="15" t="s">
        <v>571</v>
      </c>
      <c r="E37" s="15" t="s">
        <v>569</v>
      </c>
    </row>
    <row r="38" spans="2:19" x14ac:dyDescent="0.2">
      <c r="B38" s="15">
        <v>2018</v>
      </c>
      <c r="C38" s="15">
        <v>345.4</v>
      </c>
      <c r="D38" s="15" t="s">
        <v>572</v>
      </c>
      <c r="E38" s="15" t="s">
        <v>569</v>
      </c>
    </row>
    <row r="43" spans="2:19" x14ac:dyDescent="0.2">
      <c r="B43" s="15" t="s">
        <v>869</v>
      </c>
      <c r="J43" s="15" t="s">
        <v>870</v>
      </c>
    </row>
    <row r="44" spans="2:19" ht="15" x14ac:dyDescent="0.25">
      <c r="B44" s="15" t="s">
        <v>480</v>
      </c>
      <c r="C44" s="15" t="s">
        <v>559</v>
      </c>
      <c r="D44" s="15" t="s">
        <v>465</v>
      </c>
      <c r="E44" s="15" t="s">
        <v>484</v>
      </c>
      <c r="F44" s="15" t="s">
        <v>575</v>
      </c>
      <c r="J44" s="23" t="s">
        <v>568</v>
      </c>
      <c r="K44" s="23" t="s">
        <v>475</v>
      </c>
      <c r="L44"/>
      <c r="M44"/>
      <c r="N44"/>
      <c r="O44"/>
      <c r="P44"/>
      <c r="Q44"/>
      <c r="R44"/>
      <c r="S44"/>
    </row>
    <row r="45" spans="2:19" ht="15" x14ac:dyDescent="0.25">
      <c r="B45" s="15">
        <v>2015</v>
      </c>
      <c r="C45" s="15">
        <v>489967</v>
      </c>
      <c r="D45" s="15" t="s">
        <v>483</v>
      </c>
      <c r="E45" s="15" t="s">
        <v>493</v>
      </c>
      <c r="F45" s="15" t="s">
        <v>576</v>
      </c>
      <c r="J45"/>
      <c r="K45" t="s">
        <v>496</v>
      </c>
      <c r="L45"/>
      <c r="M45"/>
      <c r="N45" t="s">
        <v>573</v>
      </c>
      <c r="O45" t="s">
        <v>483</v>
      </c>
      <c r="P45"/>
      <c r="Q45"/>
      <c r="R45" t="s">
        <v>574</v>
      </c>
      <c r="S45" t="s">
        <v>474</v>
      </c>
    </row>
    <row r="46" spans="2:19" ht="15" x14ac:dyDescent="0.25">
      <c r="B46" s="15">
        <v>2016</v>
      </c>
      <c r="C46" s="15">
        <v>446919</v>
      </c>
      <c r="D46" s="15" t="s">
        <v>483</v>
      </c>
      <c r="E46" s="15" t="s">
        <v>493</v>
      </c>
      <c r="F46" s="15" t="s">
        <v>576</v>
      </c>
      <c r="J46" s="23" t="s">
        <v>473</v>
      </c>
      <c r="K46" t="s">
        <v>544</v>
      </c>
      <c r="L46" t="s">
        <v>567</v>
      </c>
      <c r="M46" t="s">
        <v>546</v>
      </c>
      <c r="N46"/>
      <c r="O46" t="s">
        <v>493</v>
      </c>
      <c r="P46" t="s">
        <v>542</v>
      </c>
      <c r="Q46" t="s">
        <v>566</v>
      </c>
      <c r="R46"/>
      <c r="S46"/>
    </row>
    <row r="47" spans="2:19" ht="15" x14ac:dyDescent="0.25">
      <c r="B47" s="15">
        <v>2017</v>
      </c>
      <c r="C47" s="15">
        <v>433218</v>
      </c>
      <c r="D47" s="15" t="s">
        <v>483</v>
      </c>
      <c r="E47" s="15" t="s">
        <v>493</v>
      </c>
      <c r="F47" s="15" t="s">
        <v>576</v>
      </c>
      <c r="J47" s="24">
        <v>2015</v>
      </c>
      <c r="K47" s="25">
        <v>5959</v>
      </c>
      <c r="L47" s="25">
        <v>75</v>
      </c>
      <c r="M47" s="25">
        <v>0</v>
      </c>
      <c r="N47" s="25">
        <v>6034</v>
      </c>
      <c r="O47" s="25">
        <v>1513</v>
      </c>
      <c r="P47" s="25">
        <v>14502</v>
      </c>
      <c r="Q47" s="25">
        <v>1094</v>
      </c>
      <c r="R47" s="25">
        <v>17109</v>
      </c>
      <c r="S47" s="25">
        <v>23143</v>
      </c>
    </row>
    <row r="48" spans="2:19" ht="15" x14ac:dyDescent="0.25">
      <c r="B48" s="15">
        <v>2018</v>
      </c>
      <c r="C48" s="15">
        <v>484702</v>
      </c>
      <c r="D48" s="15" t="s">
        <v>483</v>
      </c>
      <c r="E48" s="15" t="s">
        <v>493</v>
      </c>
      <c r="F48" s="15" t="s">
        <v>576</v>
      </c>
      <c r="J48" s="24">
        <v>2016</v>
      </c>
      <c r="K48" s="25">
        <v>6466</v>
      </c>
      <c r="L48" s="25">
        <v>65</v>
      </c>
      <c r="M48" s="25">
        <v>0</v>
      </c>
      <c r="N48" s="25">
        <v>6531</v>
      </c>
      <c r="O48" s="25">
        <v>1218</v>
      </c>
      <c r="P48" s="25">
        <v>9325</v>
      </c>
      <c r="Q48" s="25">
        <v>1039</v>
      </c>
      <c r="R48" s="25">
        <v>11582</v>
      </c>
      <c r="S48" s="25">
        <v>18113</v>
      </c>
    </row>
    <row r="49" spans="2:19" ht="15" x14ac:dyDescent="0.25">
      <c r="B49" s="15">
        <v>2015</v>
      </c>
      <c r="C49" s="15">
        <v>7516</v>
      </c>
      <c r="D49" s="15" t="s">
        <v>483</v>
      </c>
      <c r="E49" s="15" t="s">
        <v>542</v>
      </c>
      <c r="F49" s="15" t="s">
        <v>576</v>
      </c>
      <c r="J49" s="24">
        <v>2017</v>
      </c>
      <c r="K49" s="25">
        <v>6846</v>
      </c>
      <c r="L49" s="25">
        <v>65</v>
      </c>
      <c r="M49" s="25">
        <v>0</v>
      </c>
      <c r="N49" s="25">
        <v>6911</v>
      </c>
      <c r="O49" s="25">
        <v>1180</v>
      </c>
      <c r="P49" s="25">
        <v>8855</v>
      </c>
      <c r="Q49" s="25">
        <v>893</v>
      </c>
      <c r="R49" s="25">
        <v>10928</v>
      </c>
      <c r="S49" s="25">
        <v>17839</v>
      </c>
    </row>
    <row r="50" spans="2:19" ht="15" x14ac:dyDescent="0.25">
      <c r="B50" s="15">
        <v>2016</v>
      </c>
      <c r="C50" s="15">
        <v>4098</v>
      </c>
      <c r="D50" s="15" t="s">
        <v>483</v>
      </c>
      <c r="E50" s="15" t="s">
        <v>542</v>
      </c>
      <c r="F50" s="15" t="s">
        <v>576</v>
      </c>
      <c r="J50" s="24">
        <v>2018</v>
      </c>
      <c r="K50" s="25">
        <v>7294</v>
      </c>
      <c r="L50" s="25">
        <v>69</v>
      </c>
      <c r="M50" s="25">
        <v>10</v>
      </c>
      <c r="N50" s="25">
        <v>7373</v>
      </c>
      <c r="O50" s="25">
        <v>1219</v>
      </c>
      <c r="P50" s="25">
        <v>11560</v>
      </c>
      <c r="Q50" s="25">
        <v>1005</v>
      </c>
      <c r="R50" s="25">
        <v>13784</v>
      </c>
      <c r="S50" s="25">
        <v>21157</v>
      </c>
    </row>
    <row r="51" spans="2:19" ht="15" x14ac:dyDescent="0.25">
      <c r="B51" s="15">
        <v>2017</v>
      </c>
      <c r="C51" s="15">
        <v>67322</v>
      </c>
      <c r="D51" s="15" t="s">
        <v>483</v>
      </c>
      <c r="E51" s="15" t="s">
        <v>542</v>
      </c>
      <c r="F51" s="15" t="s">
        <v>576</v>
      </c>
      <c r="J51" s="24" t="s">
        <v>474</v>
      </c>
      <c r="K51" s="25">
        <v>26565</v>
      </c>
      <c r="L51" s="25">
        <v>274</v>
      </c>
      <c r="M51" s="25">
        <v>10</v>
      </c>
      <c r="N51" s="25">
        <v>26849</v>
      </c>
      <c r="O51" s="25">
        <v>5130</v>
      </c>
      <c r="P51" s="25">
        <v>44242</v>
      </c>
      <c r="Q51" s="25">
        <v>4031</v>
      </c>
      <c r="R51" s="25">
        <v>53403</v>
      </c>
      <c r="S51" s="25">
        <v>80252</v>
      </c>
    </row>
    <row r="52" spans="2:19" ht="15" x14ac:dyDescent="0.25">
      <c r="B52" s="15">
        <v>2018</v>
      </c>
      <c r="C52" s="15">
        <v>93094</v>
      </c>
      <c r="D52" s="15" t="s">
        <v>483</v>
      </c>
      <c r="E52" s="15" t="s">
        <v>542</v>
      </c>
      <c r="F52" s="15" t="s">
        <v>576</v>
      </c>
      <c r="J52"/>
      <c r="K52"/>
      <c r="L52"/>
    </row>
    <row r="53" spans="2:19" ht="15" x14ac:dyDescent="0.25">
      <c r="B53" s="15">
        <v>2015</v>
      </c>
      <c r="C53" s="15">
        <v>94510</v>
      </c>
      <c r="D53" s="15" t="s">
        <v>483</v>
      </c>
      <c r="E53" s="15" t="s">
        <v>566</v>
      </c>
      <c r="F53" s="15" t="s">
        <v>576</v>
      </c>
      <c r="J53"/>
      <c r="K53"/>
      <c r="L53"/>
    </row>
    <row r="54" spans="2:19" ht="15" x14ac:dyDescent="0.25">
      <c r="B54" s="15">
        <v>2016</v>
      </c>
      <c r="C54" s="15">
        <v>86586</v>
      </c>
      <c r="D54" s="15" t="s">
        <v>483</v>
      </c>
      <c r="E54" s="15" t="s">
        <v>566</v>
      </c>
      <c r="F54" s="15" t="s">
        <v>576</v>
      </c>
      <c r="J54"/>
      <c r="K54"/>
      <c r="L54"/>
    </row>
    <row r="55" spans="2:19" ht="15" x14ac:dyDescent="0.25">
      <c r="B55" s="15">
        <v>2017</v>
      </c>
      <c r="C55" s="15">
        <v>72318</v>
      </c>
      <c r="D55" s="15" t="s">
        <v>483</v>
      </c>
      <c r="E55" s="15" t="s">
        <v>566</v>
      </c>
      <c r="F55" s="15" t="s">
        <v>576</v>
      </c>
      <c r="J55"/>
      <c r="K55"/>
      <c r="L55"/>
    </row>
    <row r="56" spans="2:19" ht="15" x14ac:dyDescent="0.25">
      <c r="B56" s="15">
        <v>2018</v>
      </c>
      <c r="C56" s="15">
        <v>78425</v>
      </c>
      <c r="D56" s="15" t="s">
        <v>483</v>
      </c>
      <c r="E56" s="15" t="s">
        <v>566</v>
      </c>
      <c r="F56" s="15" t="s">
        <v>576</v>
      </c>
      <c r="J56"/>
      <c r="K56"/>
      <c r="L56"/>
    </row>
    <row r="57" spans="2:19" ht="15" x14ac:dyDescent="0.25">
      <c r="B57" s="15">
        <v>2015</v>
      </c>
      <c r="C57" s="15">
        <v>385235</v>
      </c>
      <c r="D57" s="15" t="s">
        <v>496</v>
      </c>
      <c r="E57" s="15" t="s">
        <v>544</v>
      </c>
      <c r="F57" s="15" t="s">
        <v>576</v>
      </c>
      <c r="J57"/>
      <c r="K57"/>
      <c r="L57"/>
    </row>
    <row r="58" spans="2:19" ht="15" x14ac:dyDescent="0.25">
      <c r="B58" s="15">
        <v>2016</v>
      </c>
      <c r="C58" s="15">
        <v>367269</v>
      </c>
      <c r="D58" s="15" t="s">
        <v>496</v>
      </c>
      <c r="E58" s="15" t="s">
        <v>544</v>
      </c>
      <c r="F58" s="15" t="s">
        <v>576</v>
      </c>
      <c r="J58"/>
      <c r="K58"/>
      <c r="L58"/>
    </row>
    <row r="59" spans="2:19" ht="15" x14ac:dyDescent="0.25">
      <c r="B59" s="15">
        <v>2017</v>
      </c>
      <c r="C59" s="15">
        <v>350015</v>
      </c>
      <c r="D59" s="15" t="s">
        <v>496</v>
      </c>
      <c r="E59" s="15" t="s">
        <v>544</v>
      </c>
      <c r="F59" s="15" t="s">
        <v>576</v>
      </c>
      <c r="J59"/>
      <c r="K59"/>
      <c r="L59"/>
    </row>
    <row r="60" spans="2:19" ht="15" x14ac:dyDescent="0.25">
      <c r="B60" s="15">
        <v>2018</v>
      </c>
      <c r="C60" s="15">
        <v>770761</v>
      </c>
      <c r="D60" s="15" t="s">
        <v>496</v>
      </c>
      <c r="E60" s="15" t="s">
        <v>544</v>
      </c>
      <c r="F60" s="15" t="s">
        <v>576</v>
      </c>
      <c r="J60"/>
      <c r="K60"/>
      <c r="L60"/>
    </row>
    <row r="61" spans="2:19" ht="15" x14ac:dyDescent="0.25">
      <c r="B61" s="15">
        <v>2015</v>
      </c>
      <c r="C61" s="15">
        <v>136164</v>
      </c>
      <c r="D61" s="15" t="s">
        <v>496</v>
      </c>
      <c r="E61" s="15" t="s">
        <v>567</v>
      </c>
      <c r="F61" s="15" t="s">
        <v>576</v>
      </c>
      <c r="J61"/>
      <c r="K61"/>
      <c r="L61"/>
    </row>
    <row r="62" spans="2:19" x14ac:dyDescent="0.2">
      <c r="B62" s="15">
        <v>2016</v>
      </c>
      <c r="C62" s="15">
        <v>136243</v>
      </c>
      <c r="D62" s="15" t="s">
        <v>496</v>
      </c>
      <c r="E62" s="15" t="s">
        <v>567</v>
      </c>
      <c r="F62" s="15" t="s">
        <v>576</v>
      </c>
    </row>
    <row r="63" spans="2:19" x14ac:dyDescent="0.2">
      <c r="B63" s="15">
        <v>2017</v>
      </c>
      <c r="C63" s="15">
        <v>136443</v>
      </c>
      <c r="D63" s="15" t="s">
        <v>496</v>
      </c>
      <c r="E63" s="15" t="s">
        <v>567</v>
      </c>
      <c r="F63" s="15" t="s">
        <v>576</v>
      </c>
    </row>
    <row r="64" spans="2:19" x14ac:dyDescent="0.2">
      <c r="B64" s="15">
        <v>2018</v>
      </c>
      <c r="C64" s="15">
        <v>135529</v>
      </c>
      <c r="D64" s="15" t="s">
        <v>496</v>
      </c>
      <c r="E64" s="15" t="s">
        <v>567</v>
      </c>
      <c r="F64" s="15" t="s">
        <v>576</v>
      </c>
    </row>
    <row r="65" spans="2:15" x14ac:dyDescent="0.2">
      <c r="B65" s="15">
        <v>2015</v>
      </c>
      <c r="C65" s="15">
        <v>0</v>
      </c>
      <c r="D65" s="15" t="s">
        <v>496</v>
      </c>
      <c r="E65" s="15" t="s">
        <v>546</v>
      </c>
      <c r="F65" s="15" t="s">
        <v>576</v>
      </c>
    </row>
    <row r="66" spans="2:15" x14ac:dyDescent="0.2">
      <c r="B66" s="15">
        <v>2016</v>
      </c>
      <c r="C66" s="15">
        <v>0</v>
      </c>
      <c r="D66" s="15" t="s">
        <v>496</v>
      </c>
      <c r="E66" s="15" t="s">
        <v>546</v>
      </c>
      <c r="F66" s="15" t="s">
        <v>576</v>
      </c>
    </row>
    <row r="67" spans="2:15" x14ac:dyDescent="0.2">
      <c r="B67" s="15">
        <v>2017</v>
      </c>
      <c r="C67" s="15">
        <v>0</v>
      </c>
      <c r="D67" s="15" t="s">
        <v>496</v>
      </c>
      <c r="E67" s="15" t="s">
        <v>546</v>
      </c>
      <c r="F67" s="15" t="s">
        <v>576</v>
      </c>
    </row>
    <row r="68" spans="2:15" x14ac:dyDescent="0.2">
      <c r="B68" s="15">
        <v>2018</v>
      </c>
      <c r="C68" s="15">
        <v>29916</v>
      </c>
      <c r="D68" s="15" t="s">
        <v>496</v>
      </c>
      <c r="E68" s="15" t="s">
        <v>546</v>
      </c>
      <c r="F68" s="15" t="s">
        <v>576</v>
      </c>
    </row>
    <row r="69" spans="2:15" x14ac:dyDescent="0.2">
      <c r="B69" s="15">
        <v>2015</v>
      </c>
      <c r="C69" s="15">
        <v>1513</v>
      </c>
      <c r="D69" s="15" t="s">
        <v>483</v>
      </c>
      <c r="E69" s="15" t="s">
        <v>493</v>
      </c>
      <c r="F69" s="15" t="s">
        <v>481</v>
      </c>
    </row>
    <row r="70" spans="2:15" x14ac:dyDescent="0.2">
      <c r="B70" s="15">
        <v>2016</v>
      </c>
      <c r="C70" s="15">
        <v>1218</v>
      </c>
      <c r="D70" s="15" t="s">
        <v>483</v>
      </c>
      <c r="E70" s="15" t="s">
        <v>493</v>
      </c>
      <c r="F70" s="15" t="s">
        <v>481</v>
      </c>
    </row>
    <row r="71" spans="2:15" x14ac:dyDescent="0.2">
      <c r="B71" s="15">
        <v>2017</v>
      </c>
      <c r="C71" s="15">
        <v>1180</v>
      </c>
      <c r="D71" s="15" t="s">
        <v>483</v>
      </c>
      <c r="E71" s="15" t="s">
        <v>493</v>
      </c>
      <c r="F71" s="15" t="s">
        <v>481</v>
      </c>
      <c r="J71" s="41"/>
      <c r="K71" s="41"/>
      <c r="L71" s="41"/>
      <c r="M71" s="41"/>
      <c r="N71" s="41"/>
      <c r="O71" s="41"/>
    </row>
    <row r="72" spans="2:15" x14ac:dyDescent="0.2">
      <c r="B72" s="15">
        <v>2018</v>
      </c>
      <c r="C72" s="15">
        <v>1219</v>
      </c>
      <c r="D72" s="15" t="s">
        <v>483</v>
      </c>
      <c r="E72" s="15" t="s">
        <v>493</v>
      </c>
      <c r="F72" s="15" t="s">
        <v>481</v>
      </c>
      <c r="J72" s="41"/>
      <c r="K72" s="41"/>
      <c r="L72" s="41"/>
      <c r="M72" s="41"/>
      <c r="N72" s="41"/>
      <c r="O72" s="41"/>
    </row>
    <row r="73" spans="2:15" x14ac:dyDescent="0.2">
      <c r="B73" s="15">
        <v>2015</v>
      </c>
      <c r="C73" s="15">
        <v>14502</v>
      </c>
      <c r="D73" s="15" t="s">
        <v>483</v>
      </c>
      <c r="E73" s="15" t="s">
        <v>542</v>
      </c>
      <c r="F73" s="15" t="s">
        <v>481</v>
      </c>
      <c r="J73" s="41"/>
      <c r="K73" s="41"/>
      <c r="L73" s="41"/>
      <c r="M73" s="41"/>
      <c r="N73" s="41"/>
      <c r="O73" s="41"/>
    </row>
    <row r="74" spans="2:15" x14ac:dyDescent="0.2">
      <c r="B74" s="15">
        <v>2016</v>
      </c>
      <c r="C74" s="15">
        <v>9325</v>
      </c>
      <c r="D74" s="15" t="s">
        <v>483</v>
      </c>
      <c r="E74" s="15" t="s">
        <v>542</v>
      </c>
      <c r="F74" s="15" t="s">
        <v>481</v>
      </c>
      <c r="J74" s="41"/>
      <c r="K74" s="41"/>
      <c r="L74" s="41"/>
      <c r="M74" s="41"/>
      <c r="N74" s="41"/>
      <c r="O74" s="41"/>
    </row>
    <row r="75" spans="2:15" x14ac:dyDescent="0.2">
      <c r="B75" s="15">
        <v>2017</v>
      </c>
      <c r="C75" s="15">
        <v>8855</v>
      </c>
      <c r="D75" s="15" t="s">
        <v>483</v>
      </c>
      <c r="E75" s="15" t="s">
        <v>542</v>
      </c>
      <c r="F75" s="15" t="s">
        <v>481</v>
      </c>
      <c r="J75" s="41"/>
      <c r="K75" s="41"/>
      <c r="L75" s="41"/>
      <c r="M75" s="41"/>
      <c r="N75" s="41"/>
      <c r="O75" s="41"/>
    </row>
    <row r="76" spans="2:15" x14ac:dyDescent="0.2">
      <c r="B76" s="15">
        <v>2018</v>
      </c>
      <c r="C76" s="15">
        <v>11560</v>
      </c>
      <c r="D76" s="15" t="s">
        <v>483</v>
      </c>
      <c r="E76" s="15" t="s">
        <v>542</v>
      </c>
      <c r="F76" s="15" t="s">
        <v>481</v>
      </c>
      <c r="J76" s="41"/>
      <c r="K76" s="41"/>
      <c r="L76" s="41"/>
      <c r="M76" s="41"/>
      <c r="N76" s="41"/>
      <c r="O76" s="41"/>
    </row>
    <row r="77" spans="2:15" x14ac:dyDescent="0.2">
      <c r="B77" s="15">
        <v>2015</v>
      </c>
      <c r="C77" s="15">
        <v>1094</v>
      </c>
      <c r="D77" s="15" t="s">
        <v>483</v>
      </c>
      <c r="E77" s="15" t="s">
        <v>566</v>
      </c>
      <c r="F77" s="15" t="s">
        <v>481</v>
      </c>
      <c r="J77" s="41"/>
      <c r="K77" s="41"/>
      <c r="L77" s="41"/>
      <c r="M77" s="41"/>
      <c r="N77" s="41"/>
      <c r="O77" s="41"/>
    </row>
    <row r="78" spans="2:15" x14ac:dyDescent="0.2">
      <c r="B78" s="15">
        <v>2016</v>
      </c>
      <c r="C78" s="15">
        <v>1039</v>
      </c>
      <c r="D78" s="15" t="s">
        <v>483</v>
      </c>
      <c r="E78" s="15" t="s">
        <v>566</v>
      </c>
      <c r="F78" s="15" t="s">
        <v>481</v>
      </c>
      <c r="J78" s="41"/>
      <c r="K78" s="41"/>
      <c r="L78" s="41"/>
      <c r="M78" s="41"/>
      <c r="N78" s="41"/>
      <c r="O78" s="41"/>
    </row>
    <row r="79" spans="2:15" x14ac:dyDescent="0.2">
      <c r="B79" s="15">
        <v>2017</v>
      </c>
      <c r="C79" s="15">
        <v>893</v>
      </c>
      <c r="D79" s="15" t="s">
        <v>483</v>
      </c>
      <c r="E79" s="15" t="s">
        <v>566</v>
      </c>
      <c r="F79" s="15" t="s">
        <v>481</v>
      </c>
      <c r="J79" s="41"/>
      <c r="K79" s="41"/>
      <c r="L79" s="41"/>
      <c r="M79" s="41"/>
      <c r="N79" s="41"/>
      <c r="O79" s="41"/>
    </row>
    <row r="80" spans="2:15" x14ac:dyDescent="0.2">
      <c r="B80" s="15">
        <v>2018</v>
      </c>
      <c r="C80" s="15">
        <v>1005</v>
      </c>
      <c r="D80" s="15" t="s">
        <v>483</v>
      </c>
      <c r="E80" s="15" t="s">
        <v>566</v>
      </c>
      <c r="F80" s="15" t="s">
        <v>481</v>
      </c>
      <c r="J80" s="41"/>
      <c r="K80" s="41"/>
      <c r="L80" s="41"/>
      <c r="M80" s="41"/>
      <c r="N80" s="41"/>
      <c r="O80" s="41"/>
    </row>
    <row r="81" spans="2:15" x14ac:dyDescent="0.2">
      <c r="B81" s="15">
        <v>2015</v>
      </c>
      <c r="C81" s="15">
        <v>5959</v>
      </c>
      <c r="D81" s="15" t="s">
        <v>496</v>
      </c>
      <c r="E81" s="15" t="s">
        <v>544</v>
      </c>
      <c r="F81" s="15" t="s">
        <v>481</v>
      </c>
      <c r="J81" s="41"/>
      <c r="K81" s="41"/>
      <c r="L81" s="41"/>
      <c r="M81" s="41"/>
      <c r="N81" s="41"/>
      <c r="O81" s="41"/>
    </row>
    <row r="82" spans="2:15" x14ac:dyDescent="0.2">
      <c r="B82" s="15">
        <v>2016</v>
      </c>
      <c r="C82" s="15">
        <v>6466</v>
      </c>
      <c r="D82" s="15" t="s">
        <v>496</v>
      </c>
      <c r="E82" s="15" t="s">
        <v>544</v>
      </c>
      <c r="F82" s="15" t="s">
        <v>481</v>
      </c>
      <c r="J82" s="41"/>
      <c r="K82" s="41"/>
      <c r="L82" s="41"/>
      <c r="M82" s="41"/>
      <c r="N82" s="41"/>
      <c r="O82" s="41"/>
    </row>
    <row r="83" spans="2:15" x14ac:dyDescent="0.2">
      <c r="B83" s="15">
        <v>2017</v>
      </c>
      <c r="C83" s="15">
        <v>6846</v>
      </c>
      <c r="D83" s="15" t="s">
        <v>496</v>
      </c>
      <c r="E83" s="15" t="s">
        <v>544</v>
      </c>
      <c r="F83" s="15" t="s">
        <v>481</v>
      </c>
      <c r="J83" s="41"/>
      <c r="K83" s="41"/>
      <c r="L83" s="41"/>
      <c r="M83" s="41"/>
      <c r="N83" s="41"/>
      <c r="O83" s="41"/>
    </row>
    <row r="84" spans="2:15" x14ac:dyDescent="0.2">
      <c r="B84" s="15">
        <v>2018</v>
      </c>
      <c r="C84" s="15">
        <v>7294</v>
      </c>
      <c r="D84" s="15" t="s">
        <v>496</v>
      </c>
      <c r="E84" s="15" t="s">
        <v>544</v>
      </c>
      <c r="F84" s="15" t="s">
        <v>481</v>
      </c>
      <c r="J84" s="41"/>
      <c r="K84" s="41"/>
      <c r="L84" s="41"/>
      <c r="M84" s="41"/>
      <c r="N84" s="41"/>
      <c r="O84" s="41"/>
    </row>
    <row r="85" spans="2:15" x14ac:dyDescent="0.2">
      <c r="B85" s="15">
        <v>2015</v>
      </c>
      <c r="C85" s="15">
        <v>75</v>
      </c>
      <c r="D85" s="15" t="s">
        <v>496</v>
      </c>
      <c r="E85" s="15" t="s">
        <v>567</v>
      </c>
      <c r="F85" s="15" t="s">
        <v>481</v>
      </c>
    </row>
    <row r="86" spans="2:15" x14ac:dyDescent="0.2">
      <c r="B86" s="15">
        <v>2016</v>
      </c>
      <c r="C86" s="15">
        <v>65</v>
      </c>
      <c r="D86" s="15" t="s">
        <v>496</v>
      </c>
      <c r="E86" s="15" t="s">
        <v>567</v>
      </c>
      <c r="F86" s="15" t="s">
        <v>481</v>
      </c>
    </row>
    <row r="87" spans="2:15" x14ac:dyDescent="0.2">
      <c r="B87" s="15">
        <v>2017</v>
      </c>
      <c r="C87" s="15">
        <v>65</v>
      </c>
      <c r="D87" s="15" t="s">
        <v>496</v>
      </c>
      <c r="E87" s="15" t="s">
        <v>567</v>
      </c>
      <c r="F87" s="15" t="s">
        <v>481</v>
      </c>
    </row>
    <row r="88" spans="2:15" x14ac:dyDescent="0.2">
      <c r="B88" s="15">
        <v>2018</v>
      </c>
      <c r="C88" s="15">
        <v>69</v>
      </c>
      <c r="D88" s="15" t="s">
        <v>496</v>
      </c>
      <c r="E88" s="15" t="s">
        <v>567</v>
      </c>
      <c r="F88" s="15" t="s">
        <v>481</v>
      </c>
    </row>
    <row r="89" spans="2:15" x14ac:dyDescent="0.2">
      <c r="B89" s="15">
        <v>2015</v>
      </c>
      <c r="C89" s="15">
        <v>0</v>
      </c>
      <c r="D89" s="15" t="s">
        <v>496</v>
      </c>
      <c r="E89" s="15" t="s">
        <v>546</v>
      </c>
      <c r="F89" s="15" t="s">
        <v>481</v>
      </c>
    </row>
    <row r="90" spans="2:15" x14ac:dyDescent="0.2">
      <c r="B90" s="15">
        <v>2016</v>
      </c>
      <c r="C90" s="15">
        <v>0</v>
      </c>
      <c r="D90" s="15" t="s">
        <v>496</v>
      </c>
      <c r="E90" s="15" t="s">
        <v>546</v>
      </c>
      <c r="F90" s="15" t="s">
        <v>481</v>
      </c>
    </row>
    <row r="91" spans="2:15" x14ac:dyDescent="0.2">
      <c r="B91" s="15">
        <v>2017</v>
      </c>
      <c r="C91" s="15">
        <v>0</v>
      </c>
      <c r="D91" s="15" t="s">
        <v>496</v>
      </c>
      <c r="E91" s="15" t="s">
        <v>546</v>
      </c>
      <c r="F91" s="15" t="s">
        <v>481</v>
      </c>
    </row>
    <row r="92" spans="2:15" x14ac:dyDescent="0.2">
      <c r="B92" s="15">
        <v>2018</v>
      </c>
      <c r="C92" s="15">
        <v>10</v>
      </c>
      <c r="D92" s="15" t="s">
        <v>496</v>
      </c>
      <c r="E92" s="15" t="s">
        <v>546</v>
      </c>
      <c r="F92" s="15" t="s">
        <v>481</v>
      </c>
    </row>
  </sheetData>
  <pageMargins left="0.7" right="0.7" top="0.75" bottom="0.75" header="0.3" footer="0.3"/>
  <tableParts count="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8105E-A289-4D7A-9B2E-07ED567B5C8B}">
  <sheetPr>
    <tabColor theme="5" tint="0.59999389629810485"/>
  </sheetPr>
  <dimension ref="B1:S54"/>
  <sheetViews>
    <sheetView showGridLines="0" topLeftCell="A10" workbookViewId="0">
      <selection activeCell="G36" sqref="G36"/>
    </sheetView>
  </sheetViews>
  <sheetFormatPr defaultRowHeight="15" x14ac:dyDescent="0.25"/>
  <cols>
    <col min="4" max="4" width="11" customWidth="1"/>
    <col min="5" max="5" width="26.42578125" customWidth="1"/>
    <col min="8" max="11" width="0" hidden="1" customWidth="1"/>
    <col min="12" max="12" width="18.28515625" bestFit="1" customWidth="1"/>
    <col min="13" max="13" width="21.140625" bestFit="1" customWidth="1"/>
    <col min="14" max="14" width="7.28515625" bestFit="1" customWidth="1"/>
    <col min="15" max="15" width="4.7109375" bestFit="1" customWidth="1"/>
    <col min="16" max="16" width="18.140625" bestFit="1" customWidth="1"/>
    <col min="17" max="17" width="21.140625" bestFit="1" customWidth="1"/>
    <col min="18" max="18" width="10.5703125" bestFit="1" customWidth="1"/>
    <col min="19" max="19" width="18.28515625" bestFit="1" customWidth="1"/>
    <col min="20" max="20" width="25.85546875" bestFit="1" customWidth="1"/>
    <col min="21" max="21" width="21" bestFit="1" customWidth="1"/>
    <col min="22" max="22" width="15" bestFit="1" customWidth="1"/>
    <col min="23" max="23" width="9.140625" bestFit="1" customWidth="1"/>
    <col min="24" max="24" width="13.5703125" bestFit="1" customWidth="1"/>
    <col min="25" max="25" width="7.28515625" bestFit="1" customWidth="1"/>
    <col min="26" max="26" width="4.7109375" bestFit="1" customWidth="1"/>
    <col min="27" max="27" width="18.140625" bestFit="1" customWidth="1"/>
    <col min="28" max="28" width="21.140625" bestFit="1" customWidth="1"/>
    <col min="29" max="29" width="10.5703125" bestFit="1" customWidth="1"/>
    <col min="30" max="30" width="11.7109375" bestFit="1" customWidth="1"/>
    <col min="31" max="31" width="11.85546875" bestFit="1" customWidth="1"/>
    <col min="32" max="32" width="8.7109375" bestFit="1" customWidth="1"/>
    <col min="33" max="33" width="11.5703125" bestFit="1" customWidth="1"/>
    <col min="34" max="34" width="18.28515625" bestFit="1" customWidth="1"/>
  </cols>
  <sheetData>
    <row r="1" spans="2:19" x14ac:dyDescent="0.25">
      <c r="B1" t="s">
        <v>872</v>
      </c>
    </row>
    <row r="2" spans="2:19" ht="15.75" thickBot="1" x14ac:dyDescent="0.3">
      <c r="B2" t="s">
        <v>480</v>
      </c>
      <c r="C2" t="s">
        <v>559</v>
      </c>
      <c r="D2" t="s">
        <v>465</v>
      </c>
      <c r="E2" t="s">
        <v>484</v>
      </c>
      <c r="L2" t="s">
        <v>756</v>
      </c>
    </row>
    <row r="3" spans="2:19" x14ac:dyDescent="0.25">
      <c r="B3">
        <v>2015</v>
      </c>
      <c r="C3">
        <v>0.2</v>
      </c>
      <c r="D3" t="s">
        <v>593</v>
      </c>
      <c r="E3" t="s">
        <v>590</v>
      </c>
      <c r="L3" s="494" t="s">
        <v>682</v>
      </c>
      <c r="M3" s="495" t="s">
        <v>1</v>
      </c>
      <c r="N3" s="495" t="s">
        <v>676</v>
      </c>
      <c r="O3" s="495" t="s">
        <v>677</v>
      </c>
      <c r="P3" s="495" t="s">
        <v>678</v>
      </c>
      <c r="Q3" s="495" t="s">
        <v>679</v>
      </c>
      <c r="R3" s="495" t="s">
        <v>680</v>
      </c>
      <c r="S3" s="496" t="s">
        <v>681</v>
      </c>
    </row>
    <row r="4" spans="2:19" ht="15.75" thickBot="1" x14ac:dyDescent="0.3">
      <c r="B4">
        <v>2015</v>
      </c>
      <c r="C4">
        <v>-795</v>
      </c>
      <c r="D4" t="s">
        <v>579</v>
      </c>
      <c r="E4" t="s">
        <v>500</v>
      </c>
      <c r="L4" s="497">
        <v>-116</v>
      </c>
      <c r="M4" s="498">
        <v>793</v>
      </c>
      <c r="N4" s="498">
        <v>-26</v>
      </c>
      <c r="O4" s="498">
        <v>-13</v>
      </c>
      <c r="P4" s="498">
        <v>-110</v>
      </c>
      <c r="Q4" s="498">
        <v>-838</v>
      </c>
      <c r="R4" s="498">
        <v>-106</v>
      </c>
      <c r="S4" s="499">
        <v>416</v>
      </c>
    </row>
    <row r="5" spans="2:19" ht="15.75" thickBot="1" x14ac:dyDescent="0.3">
      <c r="B5">
        <v>2015</v>
      </c>
      <c r="C5">
        <v>1261</v>
      </c>
      <c r="D5" t="s">
        <v>579</v>
      </c>
      <c r="E5" t="s">
        <v>1</v>
      </c>
      <c r="L5" t="s">
        <v>712</v>
      </c>
    </row>
    <row r="6" spans="2:19" x14ac:dyDescent="0.25">
      <c r="B6">
        <v>2015</v>
      </c>
      <c r="D6" t="s">
        <v>134</v>
      </c>
      <c r="E6" t="s">
        <v>583</v>
      </c>
      <c r="L6" s="494"/>
      <c r="M6" s="500" t="s">
        <v>685</v>
      </c>
      <c r="N6" s="501" t="s">
        <v>686</v>
      </c>
    </row>
    <row r="7" spans="2:19" x14ac:dyDescent="0.25">
      <c r="B7">
        <v>2015</v>
      </c>
      <c r="C7">
        <v>12117</v>
      </c>
      <c r="D7" t="s">
        <v>579</v>
      </c>
      <c r="E7" t="s">
        <v>577</v>
      </c>
      <c r="L7" s="502" t="s">
        <v>684</v>
      </c>
      <c r="M7" s="46">
        <v>116</v>
      </c>
      <c r="N7" s="503">
        <v>416</v>
      </c>
    </row>
    <row r="8" spans="2:19" ht="15.75" thickBot="1" x14ac:dyDescent="0.3">
      <c r="B8">
        <v>2015</v>
      </c>
      <c r="D8" t="s">
        <v>134</v>
      </c>
      <c r="E8" t="s">
        <v>580</v>
      </c>
      <c r="L8" s="497" t="s">
        <v>683</v>
      </c>
      <c r="M8" s="498">
        <v>266</v>
      </c>
      <c r="N8" s="499">
        <v>155</v>
      </c>
    </row>
    <row r="9" spans="2:19" x14ac:dyDescent="0.25">
      <c r="B9">
        <v>2015</v>
      </c>
      <c r="C9">
        <v>1147</v>
      </c>
      <c r="D9" t="s">
        <v>134</v>
      </c>
      <c r="E9" t="s">
        <v>589</v>
      </c>
    </row>
    <row r="10" spans="2:19" ht="15.75" thickBot="1" x14ac:dyDescent="0.3">
      <c r="B10">
        <v>2015</v>
      </c>
      <c r="C10">
        <v>0.90900000000000003</v>
      </c>
      <c r="D10" t="s">
        <v>593</v>
      </c>
      <c r="E10" t="s">
        <v>591</v>
      </c>
      <c r="L10" t="s">
        <v>713</v>
      </c>
      <c r="M10" s="66" t="s">
        <v>843</v>
      </c>
    </row>
    <row r="11" spans="2:19" x14ac:dyDescent="0.25">
      <c r="B11">
        <v>2015</v>
      </c>
      <c r="C11">
        <v>0.16300000000000001</v>
      </c>
      <c r="D11" t="s">
        <v>593</v>
      </c>
      <c r="E11" t="s">
        <v>592</v>
      </c>
      <c r="L11" s="494"/>
      <c r="M11" s="500" t="s">
        <v>685</v>
      </c>
      <c r="N11" s="495" t="s">
        <v>692</v>
      </c>
      <c r="O11" s="500" t="s">
        <v>686</v>
      </c>
      <c r="P11" s="496" t="s">
        <v>692</v>
      </c>
    </row>
    <row r="12" spans="2:19" x14ac:dyDescent="0.25">
      <c r="B12">
        <v>2015</v>
      </c>
      <c r="C12">
        <v>-980</v>
      </c>
      <c r="D12" t="s">
        <v>579</v>
      </c>
      <c r="E12" t="s">
        <v>578</v>
      </c>
      <c r="L12" s="502" t="s">
        <v>687</v>
      </c>
      <c r="M12" s="510">
        <v>0.52</v>
      </c>
      <c r="N12" s="510">
        <v>0.11</v>
      </c>
      <c r="O12" s="510">
        <v>0.69</v>
      </c>
      <c r="P12" s="511">
        <v>0.28000000000000003</v>
      </c>
    </row>
    <row r="13" spans="2:19" x14ac:dyDescent="0.25">
      <c r="B13">
        <v>2015</v>
      </c>
      <c r="C13">
        <v>-862</v>
      </c>
      <c r="D13" t="s">
        <v>579</v>
      </c>
      <c r="E13" t="s">
        <v>68</v>
      </c>
      <c r="L13" s="502" t="s">
        <v>688</v>
      </c>
      <c r="M13" s="510">
        <v>0.22</v>
      </c>
      <c r="N13" s="510">
        <v>0.62</v>
      </c>
      <c r="O13" s="510">
        <v>0.13</v>
      </c>
      <c r="P13" s="511">
        <v>0.52</v>
      </c>
    </row>
    <row r="14" spans="2:19" x14ac:dyDescent="0.25">
      <c r="B14">
        <v>2015</v>
      </c>
      <c r="C14">
        <v>5876</v>
      </c>
      <c r="D14" t="s">
        <v>134</v>
      </c>
      <c r="E14" t="s">
        <v>587</v>
      </c>
      <c r="L14" s="502" t="s">
        <v>689</v>
      </c>
      <c r="M14" s="510">
        <v>0.01</v>
      </c>
      <c r="N14" s="510">
        <v>0.27</v>
      </c>
      <c r="O14" s="510">
        <v>0.02</v>
      </c>
      <c r="P14" s="511">
        <v>0.2</v>
      </c>
    </row>
    <row r="15" spans="2:19" x14ac:dyDescent="0.25">
      <c r="B15">
        <v>2015</v>
      </c>
      <c r="C15">
        <v>7023</v>
      </c>
      <c r="D15" t="s">
        <v>134</v>
      </c>
      <c r="E15" t="s">
        <v>757</v>
      </c>
      <c r="L15" s="502" t="s">
        <v>690</v>
      </c>
      <c r="M15" s="510">
        <v>0.24</v>
      </c>
      <c r="N15" s="510"/>
      <c r="O15" s="510">
        <v>0.16</v>
      </c>
      <c r="P15" s="511"/>
    </row>
    <row r="16" spans="2:19" ht="15.75" thickBot="1" x14ac:dyDescent="0.3">
      <c r="B16">
        <v>2016</v>
      </c>
      <c r="C16">
        <v>0.17</v>
      </c>
      <c r="D16" t="s">
        <v>593</v>
      </c>
      <c r="E16" t="s">
        <v>590</v>
      </c>
      <c r="L16" s="497" t="s">
        <v>691</v>
      </c>
      <c r="M16" s="512">
        <v>0.01</v>
      </c>
      <c r="N16" s="512"/>
      <c r="O16" s="512">
        <v>0</v>
      </c>
      <c r="P16" s="513"/>
    </row>
    <row r="17" spans="2:19" ht="15.75" thickBot="1" x14ac:dyDescent="0.3">
      <c r="B17">
        <v>2016</v>
      </c>
      <c r="C17">
        <v>-260</v>
      </c>
      <c r="D17" t="s">
        <v>579</v>
      </c>
      <c r="E17" t="s">
        <v>500</v>
      </c>
      <c r="L17" s="514" t="s">
        <v>859</v>
      </c>
    </row>
    <row r="18" spans="2:19" x14ac:dyDescent="0.25">
      <c r="B18">
        <v>2016</v>
      </c>
      <c r="C18">
        <v>653</v>
      </c>
      <c r="D18" t="s">
        <v>579</v>
      </c>
      <c r="E18" t="s">
        <v>1</v>
      </c>
      <c r="L18" s="504"/>
      <c r="M18" s="508">
        <v>2015</v>
      </c>
      <c r="N18" s="508">
        <v>2016</v>
      </c>
      <c r="O18" s="508">
        <v>2017</v>
      </c>
      <c r="P18" s="509">
        <v>2018</v>
      </c>
    </row>
    <row r="19" spans="2:19" x14ac:dyDescent="0.25">
      <c r="B19">
        <v>2016</v>
      </c>
      <c r="D19" t="s">
        <v>134</v>
      </c>
      <c r="E19" t="s">
        <v>583</v>
      </c>
      <c r="L19" s="505" t="s">
        <v>7</v>
      </c>
      <c r="M19" s="6">
        <v>1126</v>
      </c>
      <c r="N19" s="6">
        <v>323</v>
      </c>
      <c r="O19" s="6">
        <v>764</v>
      </c>
      <c r="P19" s="506">
        <v>611</v>
      </c>
    </row>
    <row r="20" spans="2:19" x14ac:dyDescent="0.25">
      <c r="B20">
        <v>2016</v>
      </c>
      <c r="C20">
        <v>11266</v>
      </c>
      <c r="D20" t="s">
        <v>579</v>
      </c>
      <c r="E20" t="s">
        <v>577</v>
      </c>
      <c r="L20" s="507" t="s">
        <v>753</v>
      </c>
      <c r="M20" s="6">
        <v>59</v>
      </c>
      <c r="N20" s="6">
        <v>472</v>
      </c>
      <c r="O20" s="6">
        <v>200</v>
      </c>
      <c r="P20" s="506">
        <v>-26</v>
      </c>
    </row>
    <row r="21" spans="2:19" x14ac:dyDescent="0.25">
      <c r="B21">
        <v>2016</v>
      </c>
      <c r="D21" t="s">
        <v>134</v>
      </c>
      <c r="E21" t="s">
        <v>580</v>
      </c>
      <c r="L21" s="505" t="s">
        <v>10</v>
      </c>
      <c r="M21" s="6">
        <v>-535</v>
      </c>
      <c r="N21" s="6">
        <v>-555</v>
      </c>
      <c r="O21" s="6">
        <v>-489</v>
      </c>
      <c r="P21" s="506">
        <v>-429</v>
      </c>
    </row>
    <row r="22" spans="2:19" x14ac:dyDescent="0.25">
      <c r="B22">
        <v>2016</v>
      </c>
      <c r="C22">
        <v>1062</v>
      </c>
      <c r="D22" t="s">
        <v>134</v>
      </c>
      <c r="E22" t="s">
        <v>589</v>
      </c>
      <c r="L22" s="505" t="s">
        <v>11</v>
      </c>
      <c r="M22" s="6">
        <v>0</v>
      </c>
      <c r="N22" s="6">
        <v>0</v>
      </c>
      <c r="O22" s="6">
        <v>489</v>
      </c>
      <c r="P22" s="506">
        <v>-409</v>
      </c>
    </row>
    <row r="23" spans="2:19" x14ac:dyDescent="0.25">
      <c r="B23">
        <v>2016</v>
      </c>
      <c r="C23">
        <v>1.6259999999999999</v>
      </c>
      <c r="D23" t="s">
        <v>593</v>
      </c>
      <c r="E23" t="s">
        <v>591</v>
      </c>
      <c r="L23" s="505" t="s">
        <v>754</v>
      </c>
      <c r="M23" s="6">
        <v>-31</v>
      </c>
      <c r="N23" s="6">
        <v>-155</v>
      </c>
      <c r="O23" s="6">
        <v>-18</v>
      </c>
      <c r="P23" s="506">
        <v>-47</v>
      </c>
    </row>
    <row r="24" spans="2:19" ht="15.75" thickBot="1" x14ac:dyDescent="0.3">
      <c r="B24">
        <v>2016</v>
      </c>
      <c r="C24">
        <v>0.14499999999999999</v>
      </c>
      <c r="D24" t="s">
        <v>593</v>
      </c>
      <c r="E24" t="s">
        <v>592</v>
      </c>
      <c r="L24" s="529" t="s">
        <v>755</v>
      </c>
      <c r="M24" s="530">
        <f>SUM(M19:M23)</f>
        <v>619</v>
      </c>
      <c r="N24" s="530">
        <f t="shared" ref="N24:P24" si="0">SUM(N19:N23)</f>
        <v>85</v>
      </c>
      <c r="O24" s="530">
        <f t="shared" si="0"/>
        <v>946</v>
      </c>
      <c r="P24" s="530">
        <f t="shared" si="0"/>
        <v>-300</v>
      </c>
    </row>
    <row r="25" spans="2:19" x14ac:dyDescent="0.25">
      <c r="B25">
        <v>2016</v>
      </c>
      <c r="C25">
        <v>-389</v>
      </c>
      <c r="D25" t="s">
        <v>579</v>
      </c>
      <c r="E25" t="s">
        <v>578</v>
      </c>
    </row>
    <row r="26" spans="2:19" x14ac:dyDescent="0.25">
      <c r="B26">
        <v>2016</v>
      </c>
      <c r="C26">
        <v>-347</v>
      </c>
      <c r="D26" t="s">
        <v>579</v>
      </c>
      <c r="E26" t="s">
        <v>68</v>
      </c>
      <c r="L26" t="s">
        <v>714</v>
      </c>
    </row>
    <row r="27" spans="2:19" x14ac:dyDescent="0.25">
      <c r="B27">
        <v>2016</v>
      </c>
      <c r="C27">
        <v>6265</v>
      </c>
      <c r="D27" t="s">
        <v>134</v>
      </c>
      <c r="E27" t="s">
        <v>587</v>
      </c>
      <c r="L27" s="23" t="s">
        <v>714</v>
      </c>
      <c r="M27" s="23" t="s">
        <v>475</v>
      </c>
    </row>
    <row r="28" spans="2:19" x14ac:dyDescent="0.25">
      <c r="B28">
        <v>2016</v>
      </c>
      <c r="C28">
        <v>7327</v>
      </c>
      <c r="D28" t="s">
        <v>134</v>
      </c>
      <c r="E28" t="s">
        <v>757</v>
      </c>
      <c r="M28" t="s">
        <v>579</v>
      </c>
      <c r="R28" t="s">
        <v>906</v>
      </c>
      <c r="S28" t="s">
        <v>474</v>
      </c>
    </row>
    <row r="29" spans="2:19" x14ac:dyDescent="0.25">
      <c r="B29">
        <v>2017</v>
      </c>
      <c r="C29">
        <v>0.02</v>
      </c>
      <c r="D29" t="s">
        <v>593</v>
      </c>
      <c r="E29" t="s">
        <v>590</v>
      </c>
      <c r="L29" s="23" t="s">
        <v>473</v>
      </c>
      <c r="M29" t="s">
        <v>577</v>
      </c>
      <c r="N29" t="s">
        <v>1</v>
      </c>
      <c r="O29" t="s">
        <v>500</v>
      </c>
      <c r="P29" t="s">
        <v>68</v>
      </c>
      <c r="Q29" t="s">
        <v>578</v>
      </c>
    </row>
    <row r="30" spans="2:19" x14ac:dyDescent="0.25">
      <c r="B30">
        <v>2017</v>
      </c>
      <c r="C30">
        <v>42</v>
      </c>
      <c r="D30" t="s">
        <v>579</v>
      </c>
      <c r="E30" t="s">
        <v>500</v>
      </c>
      <c r="L30" s="24">
        <v>2015</v>
      </c>
      <c r="M30" s="25">
        <v>12117</v>
      </c>
      <c r="N30" s="25">
        <v>1261</v>
      </c>
      <c r="O30" s="25">
        <v>-795</v>
      </c>
      <c r="P30" s="25">
        <v>-862</v>
      </c>
      <c r="Q30" s="25">
        <v>-980</v>
      </c>
      <c r="R30" s="25">
        <v>10741</v>
      </c>
      <c r="S30" s="25">
        <v>10741</v>
      </c>
    </row>
    <row r="31" spans="2:19" x14ac:dyDescent="0.25">
      <c r="B31">
        <v>2017</v>
      </c>
      <c r="C31">
        <v>803</v>
      </c>
      <c r="D31" t="s">
        <v>579</v>
      </c>
      <c r="E31" t="s">
        <v>1</v>
      </c>
      <c r="L31" s="24">
        <v>2016</v>
      </c>
      <c r="M31" s="25">
        <v>11266</v>
      </c>
      <c r="N31" s="25">
        <v>653</v>
      </c>
      <c r="O31" s="25">
        <v>-260</v>
      </c>
      <c r="P31" s="25">
        <v>-347</v>
      </c>
      <c r="Q31" s="25">
        <v>-389</v>
      </c>
      <c r="R31" s="25">
        <v>10923</v>
      </c>
      <c r="S31" s="25">
        <v>10923</v>
      </c>
    </row>
    <row r="32" spans="2:19" x14ac:dyDescent="0.25">
      <c r="B32">
        <v>2017</v>
      </c>
      <c r="C32">
        <v>5613</v>
      </c>
      <c r="D32" t="s">
        <v>134</v>
      </c>
      <c r="E32" t="s">
        <v>583</v>
      </c>
      <c r="L32" s="24">
        <v>2017</v>
      </c>
      <c r="M32" s="25">
        <v>8926</v>
      </c>
      <c r="N32" s="25">
        <v>803</v>
      </c>
      <c r="O32" s="25">
        <v>42</v>
      </c>
      <c r="P32" s="25">
        <v>-41</v>
      </c>
      <c r="Q32" s="25">
        <v>-176</v>
      </c>
      <c r="R32" s="25">
        <v>9554</v>
      </c>
      <c r="S32" s="25">
        <v>9554</v>
      </c>
    </row>
    <row r="33" spans="2:19" x14ac:dyDescent="0.25">
      <c r="B33">
        <v>2017</v>
      </c>
      <c r="C33">
        <v>8926</v>
      </c>
      <c r="D33" t="s">
        <v>579</v>
      </c>
      <c r="E33" t="s">
        <v>577</v>
      </c>
      <c r="L33" s="24">
        <v>2018</v>
      </c>
      <c r="M33" s="25">
        <v>9313</v>
      </c>
      <c r="N33" s="25">
        <v>793</v>
      </c>
      <c r="O33" s="25">
        <v>199</v>
      </c>
      <c r="P33" s="25">
        <v>184</v>
      </c>
      <c r="Q33" s="25">
        <v>54</v>
      </c>
      <c r="R33" s="25">
        <v>10543</v>
      </c>
      <c r="S33" s="25">
        <v>10543</v>
      </c>
    </row>
    <row r="34" spans="2:19" x14ac:dyDescent="0.25">
      <c r="B34">
        <v>2017</v>
      </c>
      <c r="C34">
        <v>478</v>
      </c>
      <c r="D34" t="s">
        <v>134</v>
      </c>
      <c r="E34" t="s">
        <v>580</v>
      </c>
      <c r="L34" s="24" t="s">
        <v>474</v>
      </c>
      <c r="M34" s="25">
        <v>41622</v>
      </c>
      <c r="N34" s="25">
        <v>3510</v>
      </c>
      <c r="O34" s="25">
        <v>-814</v>
      </c>
      <c r="P34" s="25">
        <v>-1066</v>
      </c>
      <c r="Q34" s="25">
        <v>-1491</v>
      </c>
      <c r="R34" s="25">
        <v>41761</v>
      </c>
      <c r="S34" s="25">
        <v>41761</v>
      </c>
    </row>
    <row r="35" spans="2:19" x14ac:dyDescent="0.25">
      <c r="B35">
        <v>2017</v>
      </c>
      <c r="C35">
        <v>116</v>
      </c>
      <c r="D35" t="s">
        <v>134</v>
      </c>
      <c r="E35" t="s">
        <v>589</v>
      </c>
    </row>
    <row r="36" spans="2:19" x14ac:dyDescent="0.25">
      <c r="B36">
        <v>2017</v>
      </c>
      <c r="C36">
        <v>0.1</v>
      </c>
      <c r="D36" t="s">
        <v>593</v>
      </c>
      <c r="E36" t="s">
        <v>591</v>
      </c>
    </row>
    <row r="37" spans="2:19" x14ac:dyDescent="0.25">
      <c r="B37">
        <v>2017</v>
      </c>
      <c r="C37">
        <v>1.7999999999999999E-2</v>
      </c>
      <c r="D37" t="s">
        <v>593</v>
      </c>
      <c r="E37" t="s">
        <v>592</v>
      </c>
    </row>
    <row r="38" spans="2:19" x14ac:dyDescent="0.25">
      <c r="B38">
        <v>2017</v>
      </c>
      <c r="C38">
        <v>-176</v>
      </c>
      <c r="D38" t="s">
        <v>579</v>
      </c>
      <c r="E38" t="s">
        <v>578</v>
      </c>
    </row>
    <row r="39" spans="2:19" x14ac:dyDescent="0.25">
      <c r="B39">
        <v>2017</v>
      </c>
      <c r="C39">
        <v>-41</v>
      </c>
      <c r="D39" t="s">
        <v>579</v>
      </c>
      <c r="E39" t="s">
        <v>68</v>
      </c>
    </row>
    <row r="40" spans="2:19" x14ac:dyDescent="0.25">
      <c r="B40">
        <v>2017</v>
      </c>
      <c r="C40">
        <v>6203</v>
      </c>
      <c r="D40" t="s">
        <v>134</v>
      </c>
      <c r="E40" t="s">
        <v>587</v>
      </c>
    </row>
    <row r="41" spans="2:19" x14ac:dyDescent="0.25">
      <c r="B41">
        <v>2017</v>
      </c>
      <c r="C41">
        <v>6319</v>
      </c>
      <c r="D41" t="s">
        <v>134</v>
      </c>
      <c r="E41" t="s">
        <v>757</v>
      </c>
    </row>
    <row r="42" spans="2:19" x14ac:dyDescent="0.25">
      <c r="B42">
        <v>2018</v>
      </c>
      <c r="C42">
        <v>7.0000000000000007E-2</v>
      </c>
      <c r="D42" t="s">
        <v>593</v>
      </c>
      <c r="E42" t="s">
        <v>590</v>
      </c>
    </row>
    <row r="43" spans="2:19" x14ac:dyDescent="0.25">
      <c r="B43">
        <v>2018</v>
      </c>
      <c r="C43">
        <v>199</v>
      </c>
      <c r="D43" t="s">
        <v>579</v>
      </c>
      <c r="E43" t="s">
        <v>500</v>
      </c>
    </row>
    <row r="44" spans="2:19" x14ac:dyDescent="0.25">
      <c r="B44">
        <v>2018</v>
      </c>
      <c r="C44">
        <v>793</v>
      </c>
      <c r="D44" t="s">
        <v>579</v>
      </c>
      <c r="E44" t="s">
        <v>1</v>
      </c>
    </row>
    <row r="45" spans="2:19" x14ac:dyDescent="0.25">
      <c r="B45">
        <v>2018</v>
      </c>
      <c r="C45">
        <v>5840</v>
      </c>
      <c r="D45" t="s">
        <v>134</v>
      </c>
      <c r="E45" t="s">
        <v>583</v>
      </c>
    </row>
    <row r="46" spans="2:19" x14ac:dyDescent="0.25">
      <c r="B46">
        <v>2018</v>
      </c>
      <c r="C46">
        <v>9313</v>
      </c>
      <c r="D46" t="s">
        <v>579</v>
      </c>
      <c r="E46" t="s">
        <v>577</v>
      </c>
    </row>
    <row r="47" spans="2:19" x14ac:dyDescent="0.25">
      <c r="B47">
        <v>2018</v>
      </c>
      <c r="C47">
        <v>582</v>
      </c>
      <c r="D47" t="s">
        <v>134</v>
      </c>
      <c r="E47" t="s">
        <v>580</v>
      </c>
    </row>
    <row r="48" spans="2:19" x14ac:dyDescent="0.25">
      <c r="B48">
        <v>2018</v>
      </c>
      <c r="C48">
        <v>416</v>
      </c>
      <c r="D48" t="s">
        <v>134</v>
      </c>
      <c r="E48" t="s">
        <v>589</v>
      </c>
    </row>
    <row r="49" spans="2:5" x14ac:dyDescent="0.25">
      <c r="B49">
        <v>2018</v>
      </c>
      <c r="C49">
        <v>0.52400000000000002</v>
      </c>
      <c r="D49" t="s">
        <v>593</v>
      </c>
      <c r="E49" t="s">
        <v>591</v>
      </c>
    </row>
    <row r="50" spans="2:5" x14ac:dyDescent="0.25">
      <c r="B50">
        <v>2018</v>
      </c>
      <c r="C50">
        <v>6.3E-2</v>
      </c>
      <c r="D50" t="s">
        <v>593</v>
      </c>
      <c r="E50" t="s">
        <v>592</v>
      </c>
    </row>
    <row r="51" spans="2:5" x14ac:dyDescent="0.25">
      <c r="B51">
        <v>2018</v>
      </c>
      <c r="C51">
        <v>54</v>
      </c>
      <c r="D51" t="s">
        <v>579</v>
      </c>
      <c r="E51" t="s">
        <v>578</v>
      </c>
    </row>
    <row r="52" spans="2:5" x14ac:dyDescent="0.25">
      <c r="B52">
        <v>2018</v>
      </c>
      <c r="C52">
        <v>184</v>
      </c>
      <c r="D52" t="s">
        <v>579</v>
      </c>
      <c r="E52" t="s">
        <v>68</v>
      </c>
    </row>
    <row r="53" spans="2:5" x14ac:dyDescent="0.25">
      <c r="B53">
        <v>2018</v>
      </c>
      <c r="C53">
        <v>6141</v>
      </c>
      <c r="D53" t="s">
        <v>134</v>
      </c>
      <c r="E53" t="s">
        <v>587</v>
      </c>
    </row>
    <row r="54" spans="2:5" x14ac:dyDescent="0.25">
      <c r="B54">
        <v>2018</v>
      </c>
      <c r="C54">
        <v>6557</v>
      </c>
      <c r="D54" t="s">
        <v>134</v>
      </c>
      <c r="E54" t="s">
        <v>757</v>
      </c>
    </row>
  </sheetData>
  <pageMargins left="0.7" right="0.7" top="0.75" bottom="0.75" header="0.3" footer="0.3"/>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D50BA-08B2-4F30-9480-96D635F019ED}">
  <sheetPr>
    <tabColor theme="6"/>
    <pageSetUpPr fitToPage="1"/>
  </sheetPr>
  <dimension ref="B9:AL30"/>
  <sheetViews>
    <sheetView showGridLines="0" zoomScaleNormal="100" workbookViewId="0">
      <selection activeCell="J35" sqref="J35"/>
    </sheetView>
  </sheetViews>
  <sheetFormatPr defaultColWidth="9.140625" defaultRowHeight="14.25" x14ac:dyDescent="0.2"/>
  <cols>
    <col min="1" max="1" width="5.7109375" style="15" customWidth="1"/>
    <col min="2" max="2" width="28.7109375" style="15" customWidth="1"/>
    <col min="3" max="3" width="8.42578125" style="15" customWidth="1"/>
    <col min="4" max="16384" width="9.140625" style="15"/>
  </cols>
  <sheetData>
    <row r="9" spans="2:38" ht="15.75" thickBot="1" x14ac:dyDescent="0.3">
      <c r="B9" s="88" t="s">
        <v>693</v>
      </c>
      <c r="C9" s="88"/>
      <c r="D9" s="596">
        <v>2015</v>
      </c>
      <c r="E9" s="596"/>
      <c r="F9" s="596"/>
      <c r="G9" s="596"/>
      <c r="H9" s="596"/>
      <c r="I9" s="596"/>
      <c r="J9" s="596"/>
      <c r="K9" s="595">
        <v>2016</v>
      </c>
      <c r="L9" s="595"/>
      <c r="M9" s="595"/>
      <c r="N9" s="595"/>
      <c r="O9" s="595"/>
      <c r="P9" s="595"/>
      <c r="Q9" s="595"/>
      <c r="R9" s="595">
        <v>2017</v>
      </c>
      <c r="S9" s="595"/>
      <c r="T9" s="595"/>
      <c r="U9" s="595"/>
      <c r="V9" s="595"/>
      <c r="W9" s="595"/>
      <c r="X9" s="595"/>
      <c r="Y9" s="595">
        <v>2018</v>
      </c>
      <c r="Z9" s="595"/>
      <c r="AA9" s="595"/>
      <c r="AB9" s="595"/>
      <c r="AC9" s="595"/>
      <c r="AD9" s="595"/>
      <c r="AE9" s="595"/>
      <c r="AF9" s="595">
        <v>2019</v>
      </c>
      <c r="AG9" s="595"/>
      <c r="AH9" s="595"/>
      <c r="AI9" s="595"/>
      <c r="AJ9" s="595"/>
      <c r="AK9" s="595"/>
      <c r="AL9" s="595"/>
    </row>
    <row r="10" spans="2:38" ht="15" thickBot="1" x14ac:dyDescent="0.25">
      <c r="B10" s="86"/>
      <c r="C10" s="86" t="s">
        <v>730</v>
      </c>
      <c r="D10" s="82" t="s">
        <v>621</v>
      </c>
      <c r="E10" s="82" t="s">
        <v>622</v>
      </c>
      <c r="F10" s="82" t="s">
        <v>623</v>
      </c>
      <c r="G10" s="82" t="s">
        <v>624</v>
      </c>
      <c r="H10" s="82" t="s">
        <v>81</v>
      </c>
      <c r="I10" s="82" t="s">
        <v>625</v>
      </c>
      <c r="J10" s="82" t="s">
        <v>82</v>
      </c>
      <c r="K10" s="73" t="s">
        <v>621</v>
      </c>
      <c r="L10" s="73" t="s">
        <v>622</v>
      </c>
      <c r="M10" s="73" t="s">
        <v>623</v>
      </c>
      <c r="N10" s="73" t="s">
        <v>624</v>
      </c>
      <c r="O10" s="73" t="s">
        <v>81</v>
      </c>
      <c r="P10" s="73" t="s">
        <v>625</v>
      </c>
      <c r="Q10" s="73" t="s">
        <v>82</v>
      </c>
      <c r="R10" s="82" t="s">
        <v>621</v>
      </c>
      <c r="S10" s="82" t="s">
        <v>622</v>
      </c>
      <c r="T10" s="82" t="s">
        <v>623</v>
      </c>
      <c r="U10" s="82" t="s">
        <v>624</v>
      </c>
      <c r="V10" s="82" t="s">
        <v>81</v>
      </c>
      <c r="W10" s="82" t="s">
        <v>625</v>
      </c>
      <c r="X10" s="82" t="s">
        <v>82</v>
      </c>
      <c r="Y10" s="73" t="s">
        <v>621</v>
      </c>
      <c r="Z10" s="73" t="s">
        <v>622</v>
      </c>
      <c r="AA10" s="73" t="s">
        <v>623</v>
      </c>
      <c r="AB10" s="73" t="s">
        <v>624</v>
      </c>
      <c r="AC10" s="73" t="s">
        <v>81</v>
      </c>
      <c r="AD10" s="73" t="s">
        <v>625</v>
      </c>
      <c r="AE10" s="73" t="s">
        <v>82</v>
      </c>
      <c r="AF10" s="82" t="s">
        <v>621</v>
      </c>
      <c r="AG10" s="82" t="s">
        <v>622</v>
      </c>
      <c r="AH10" s="82" t="s">
        <v>623</v>
      </c>
      <c r="AI10" s="82" t="s">
        <v>624</v>
      </c>
      <c r="AJ10" s="82" t="s">
        <v>81</v>
      </c>
      <c r="AK10" s="82" t="s">
        <v>625</v>
      </c>
      <c r="AL10" s="82" t="s">
        <v>82</v>
      </c>
    </row>
    <row r="11" spans="2:38" x14ac:dyDescent="0.2">
      <c r="K11" s="55"/>
      <c r="L11" s="55"/>
      <c r="M11" s="55"/>
      <c r="N11" s="55"/>
      <c r="O11" s="55"/>
      <c r="P11" s="55"/>
      <c r="Q11" s="55"/>
      <c r="Y11" s="55"/>
      <c r="Z11" s="55"/>
      <c r="AA11" s="55"/>
      <c r="AB11" s="55"/>
      <c r="AC11" s="55"/>
      <c r="AD11" s="55"/>
      <c r="AE11" s="55"/>
    </row>
    <row r="12" spans="2:38" x14ac:dyDescent="0.2">
      <c r="B12" s="53" t="s">
        <v>904</v>
      </c>
      <c r="C12" s="53" t="s">
        <v>731</v>
      </c>
      <c r="D12" s="102">
        <v>51.9</v>
      </c>
      <c r="E12" s="102">
        <v>47.9</v>
      </c>
      <c r="F12" s="102">
        <v>49.9</v>
      </c>
      <c r="G12" s="102">
        <v>56.6</v>
      </c>
      <c r="H12" s="102">
        <v>52.1</v>
      </c>
      <c r="I12" s="102">
        <v>52.8</v>
      </c>
      <c r="J12" s="102">
        <v>52.3</v>
      </c>
      <c r="K12" s="92">
        <v>39.6</v>
      </c>
      <c r="L12" s="92">
        <v>34.5</v>
      </c>
      <c r="M12" s="92">
        <v>37</v>
      </c>
      <c r="N12" s="92">
        <v>40.9</v>
      </c>
      <c r="O12" s="92">
        <v>38.299999999999997</v>
      </c>
      <c r="P12" s="92">
        <v>55.9</v>
      </c>
      <c r="Q12" s="92">
        <v>42.7</v>
      </c>
      <c r="R12" s="102">
        <v>57.4</v>
      </c>
      <c r="S12" s="102">
        <v>44.9</v>
      </c>
      <c r="T12" s="102">
        <v>51.9</v>
      </c>
      <c r="U12" s="102">
        <v>51.6</v>
      </c>
      <c r="V12" s="102">
        <v>51.3</v>
      </c>
      <c r="W12" s="102">
        <v>61.8</v>
      </c>
      <c r="X12" s="102">
        <v>53.9</v>
      </c>
      <c r="Y12" s="92">
        <v>54.3</v>
      </c>
      <c r="Z12" s="92">
        <v>53.4</v>
      </c>
      <c r="AA12" s="92">
        <v>53.8</v>
      </c>
      <c r="AB12" s="92">
        <v>68.900000000000006</v>
      </c>
      <c r="AC12" s="92">
        <v>58.9</v>
      </c>
      <c r="AD12" s="92">
        <v>68.599999999999994</v>
      </c>
      <c r="AE12" s="92">
        <v>61.3</v>
      </c>
      <c r="AF12" s="102">
        <v>59.4</v>
      </c>
      <c r="AG12" s="102"/>
      <c r="AH12" s="102"/>
      <c r="AI12" s="102"/>
      <c r="AJ12" s="102"/>
      <c r="AK12" s="102"/>
      <c r="AL12" s="102"/>
    </row>
    <row r="13" spans="2:38" x14ac:dyDescent="0.2">
      <c r="B13" s="53" t="s">
        <v>702</v>
      </c>
      <c r="C13" s="53" t="s">
        <v>731</v>
      </c>
      <c r="D13" s="130">
        <v>-4.2</v>
      </c>
      <c r="E13" s="130">
        <v>-5.5</v>
      </c>
      <c r="F13" s="130">
        <v>-4.9000000000000004</v>
      </c>
      <c r="G13" s="102">
        <v>4</v>
      </c>
      <c r="H13" s="130">
        <v>-1.9</v>
      </c>
      <c r="I13" s="102">
        <v>3.5</v>
      </c>
      <c r="J13" s="130">
        <v>-0.6</v>
      </c>
      <c r="K13" s="92">
        <v>1.3</v>
      </c>
      <c r="L13" s="129">
        <v>-3</v>
      </c>
      <c r="M13" s="129">
        <v>-0.8</v>
      </c>
      <c r="N13" s="92">
        <v>4</v>
      </c>
      <c r="O13" s="92">
        <v>0.8</v>
      </c>
      <c r="P13" s="92">
        <v>8.3000000000000007</v>
      </c>
      <c r="Q13" s="92">
        <v>2.7</v>
      </c>
      <c r="R13" s="102">
        <v>6.6</v>
      </c>
      <c r="S13" s="102">
        <v>0.7</v>
      </c>
      <c r="T13" s="102">
        <v>3.6</v>
      </c>
      <c r="U13" s="102">
        <v>7.1</v>
      </c>
      <c r="V13" s="102">
        <v>4.8</v>
      </c>
      <c r="W13" s="102">
        <v>6.3</v>
      </c>
      <c r="X13" s="102">
        <v>5.2</v>
      </c>
      <c r="Y13" s="129">
        <v>-2</v>
      </c>
      <c r="Z13" s="129">
        <v>-5.4</v>
      </c>
      <c r="AA13" s="129">
        <v>-3.7</v>
      </c>
      <c r="AB13" s="92">
        <v>1.8</v>
      </c>
      <c r="AC13" s="129">
        <v>-1.9</v>
      </c>
      <c r="AD13" s="92">
        <v>0.1</v>
      </c>
      <c r="AE13" s="129">
        <v>-1.4</v>
      </c>
      <c r="AF13" s="102">
        <v>0.1</v>
      </c>
      <c r="AG13" s="102"/>
      <c r="AH13" s="102"/>
      <c r="AI13" s="102"/>
      <c r="AJ13" s="102"/>
      <c r="AK13" s="102"/>
      <c r="AL13" s="102"/>
    </row>
    <row r="14" spans="2:38" x14ac:dyDescent="0.2">
      <c r="B14" s="53" t="s">
        <v>905</v>
      </c>
      <c r="C14" s="53" t="s">
        <v>732</v>
      </c>
      <c r="D14" s="102">
        <v>25.47</v>
      </c>
      <c r="E14" s="102">
        <v>23.8</v>
      </c>
      <c r="F14" s="102">
        <v>24.65</v>
      </c>
      <c r="G14" s="102">
        <v>23.3</v>
      </c>
      <c r="H14" s="102">
        <v>24.2</v>
      </c>
      <c r="I14" s="102">
        <v>20.6</v>
      </c>
      <c r="J14" s="102">
        <v>23.29</v>
      </c>
      <c r="K14" s="92">
        <v>15.27</v>
      </c>
      <c r="L14" s="92">
        <v>15.6</v>
      </c>
      <c r="M14" s="92">
        <v>15.42</v>
      </c>
      <c r="N14" s="92">
        <v>15.4</v>
      </c>
      <c r="O14" s="92">
        <v>15.41</v>
      </c>
      <c r="P14" s="92">
        <v>19.899999999999999</v>
      </c>
      <c r="Q14" s="92">
        <v>16.5</v>
      </c>
      <c r="R14" s="102">
        <v>21.6</v>
      </c>
      <c r="S14" s="102">
        <v>19.100000000000001</v>
      </c>
      <c r="T14" s="102">
        <v>20.399999999999999</v>
      </c>
      <c r="U14" s="102">
        <v>19</v>
      </c>
      <c r="V14" s="102">
        <v>19.899999999999999</v>
      </c>
      <c r="W14" s="102">
        <v>23.2</v>
      </c>
      <c r="X14" s="102">
        <v>20.7</v>
      </c>
      <c r="Y14" s="92">
        <v>23.1</v>
      </c>
      <c r="Z14" s="92">
        <v>24.3</v>
      </c>
      <c r="AA14" s="92">
        <v>23.7</v>
      </c>
      <c r="AB14" s="92">
        <v>27.7</v>
      </c>
      <c r="AC14" s="92">
        <v>25</v>
      </c>
      <c r="AD14" s="92">
        <v>27.2</v>
      </c>
      <c r="AE14" s="92">
        <v>25.6</v>
      </c>
      <c r="AF14" s="102">
        <v>22</v>
      </c>
      <c r="AG14" s="102"/>
      <c r="AH14" s="102"/>
      <c r="AI14" s="102"/>
      <c r="AJ14" s="102"/>
      <c r="AK14" s="102"/>
      <c r="AL14" s="102"/>
    </row>
    <row r="15" spans="2:38" x14ac:dyDescent="0.2">
      <c r="B15" s="53" t="s">
        <v>875</v>
      </c>
      <c r="C15" s="53" t="s">
        <v>732</v>
      </c>
      <c r="D15" s="102">
        <v>22.51</v>
      </c>
      <c r="E15" s="102">
        <v>22.3</v>
      </c>
      <c r="F15" s="102">
        <v>22.38</v>
      </c>
      <c r="G15" s="102">
        <v>21</v>
      </c>
      <c r="H15" s="102">
        <v>21.93</v>
      </c>
      <c r="I15" s="102">
        <v>18</v>
      </c>
      <c r="J15" s="102">
        <v>20.95</v>
      </c>
      <c r="K15" s="92">
        <v>13.59</v>
      </c>
      <c r="L15" s="92">
        <v>13.9</v>
      </c>
      <c r="M15" s="92">
        <v>13.76</v>
      </c>
      <c r="N15" s="92">
        <v>13.5</v>
      </c>
      <c r="O15" s="92">
        <v>13.66</v>
      </c>
      <c r="P15" s="92">
        <v>18.100000000000001</v>
      </c>
      <c r="Q15" s="92">
        <v>14.77</v>
      </c>
      <c r="R15" s="102">
        <v>19.59</v>
      </c>
      <c r="S15" s="102">
        <v>16.5</v>
      </c>
      <c r="T15" s="102">
        <v>18.03</v>
      </c>
      <c r="U15" s="102">
        <v>17</v>
      </c>
      <c r="V15" s="102">
        <v>17.690000000000001</v>
      </c>
      <c r="W15" s="102">
        <v>20.100000000000001</v>
      </c>
      <c r="X15" s="102">
        <v>18.309999999999999</v>
      </c>
      <c r="Y15" s="92">
        <v>22.27</v>
      </c>
      <c r="Z15" s="92">
        <v>22.3</v>
      </c>
      <c r="AA15" s="92">
        <v>22.27</v>
      </c>
      <c r="AB15" s="92">
        <v>25.9</v>
      </c>
      <c r="AC15" s="92">
        <v>23.49</v>
      </c>
      <c r="AD15" s="92">
        <v>26.1</v>
      </c>
      <c r="AE15" s="92">
        <v>24.15</v>
      </c>
      <c r="AF15" s="102">
        <v>19.48</v>
      </c>
      <c r="AG15" s="102"/>
      <c r="AH15" s="102"/>
      <c r="AI15" s="102"/>
      <c r="AJ15" s="102"/>
      <c r="AK15" s="102"/>
      <c r="AL15" s="102"/>
    </row>
    <row r="16" spans="2:38" x14ac:dyDescent="0.2">
      <c r="B16" s="53" t="s">
        <v>913</v>
      </c>
      <c r="C16" s="53" t="s">
        <v>732</v>
      </c>
      <c r="D16" s="102">
        <f>D14-D15</f>
        <v>2.9599999999999973</v>
      </c>
      <c r="E16" s="102">
        <f t="shared" ref="E16:J16" si="0">E14-E15</f>
        <v>1.5</v>
      </c>
      <c r="F16" s="102">
        <f t="shared" si="0"/>
        <v>2.2699999999999996</v>
      </c>
      <c r="G16" s="102">
        <f t="shared" si="0"/>
        <v>2.3000000000000007</v>
      </c>
      <c r="H16" s="102">
        <f t="shared" si="0"/>
        <v>2.2699999999999996</v>
      </c>
      <c r="I16" s="102">
        <f t="shared" si="0"/>
        <v>2.6000000000000014</v>
      </c>
      <c r="J16" s="102">
        <f t="shared" si="0"/>
        <v>2.34</v>
      </c>
      <c r="K16" s="92">
        <f t="shared" ref="K16:AF16" si="1">K14-K15</f>
        <v>1.6799999999999997</v>
      </c>
      <c r="L16" s="92">
        <f t="shared" si="1"/>
        <v>1.6999999999999993</v>
      </c>
      <c r="M16" s="92">
        <f t="shared" si="1"/>
        <v>1.6600000000000001</v>
      </c>
      <c r="N16" s="92">
        <f t="shared" si="1"/>
        <v>1.9000000000000004</v>
      </c>
      <c r="O16" s="92">
        <f t="shared" si="1"/>
        <v>1.75</v>
      </c>
      <c r="P16" s="92">
        <f t="shared" si="1"/>
        <v>1.7999999999999972</v>
      </c>
      <c r="Q16" s="92">
        <f t="shared" si="1"/>
        <v>1.7300000000000004</v>
      </c>
      <c r="R16" s="102">
        <f t="shared" si="1"/>
        <v>2.0100000000000016</v>
      </c>
      <c r="S16" s="102">
        <f t="shared" si="1"/>
        <v>2.6000000000000014</v>
      </c>
      <c r="T16" s="102">
        <f t="shared" si="1"/>
        <v>2.3699999999999974</v>
      </c>
      <c r="U16" s="102">
        <f t="shared" si="1"/>
        <v>2</v>
      </c>
      <c r="V16" s="102">
        <f t="shared" si="1"/>
        <v>2.2099999999999973</v>
      </c>
      <c r="W16" s="102">
        <f t="shared" si="1"/>
        <v>3.0999999999999979</v>
      </c>
      <c r="X16" s="102">
        <f t="shared" si="1"/>
        <v>2.3900000000000006</v>
      </c>
      <c r="Y16" s="92">
        <f t="shared" si="1"/>
        <v>0.83000000000000185</v>
      </c>
      <c r="Z16" s="92">
        <f t="shared" si="1"/>
        <v>2</v>
      </c>
      <c r="AA16" s="92">
        <f t="shared" si="1"/>
        <v>1.4299999999999997</v>
      </c>
      <c r="AB16" s="92">
        <f t="shared" si="1"/>
        <v>1.8000000000000007</v>
      </c>
      <c r="AC16" s="92">
        <f t="shared" si="1"/>
        <v>1.5100000000000016</v>
      </c>
      <c r="AD16" s="92">
        <f t="shared" si="1"/>
        <v>1.0999999999999979</v>
      </c>
      <c r="AE16" s="92">
        <f t="shared" si="1"/>
        <v>1.4500000000000028</v>
      </c>
      <c r="AF16" s="102">
        <f t="shared" si="1"/>
        <v>2.5199999999999996</v>
      </c>
      <c r="AG16" s="102"/>
      <c r="AH16" s="102"/>
      <c r="AI16" s="102"/>
      <c r="AJ16" s="102"/>
      <c r="AK16" s="102"/>
      <c r="AL16" s="102"/>
    </row>
    <row r="17" spans="2:38" x14ac:dyDescent="0.2">
      <c r="B17" s="53" t="s">
        <v>738</v>
      </c>
      <c r="C17" s="53" t="s">
        <v>732</v>
      </c>
      <c r="D17" s="102">
        <v>39.72</v>
      </c>
      <c r="E17" s="102">
        <v>33.799999999999997</v>
      </c>
      <c r="F17" s="102">
        <v>36.74</v>
      </c>
      <c r="G17" s="102">
        <v>28.7</v>
      </c>
      <c r="H17" s="102">
        <v>34.049999999999997</v>
      </c>
      <c r="I17" s="102">
        <v>26.5</v>
      </c>
      <c r="J17" s="102">
        <v>32.159999999999997</v>
      </c>
      <c r="K17" s="92">
        <v>23.22</v>
      </c>
      <c r="L17" s="92">
        <v>19.3</v>
      </c>
      <c r="M17" s="92">
        <v>21.27</v>
      </c>
      <c r="N17" s="92">
        <v>19.100000000000001</v>
      </c>
      <c r="O17" s="92">
        <v>20.56</v>
      </c>
      <c r="P17" s="92">
        <v>21.3</v>
      </c>
      <c r="Q17" s="92">
        <v>20.73</v>
      </c>
      <c r="R17" s="102">
        <v>24.14</v>
      </c>
      <c r="S17" s="102">
        <v>24.8</v>
      </c>
      <c r="T17" s="102">
        <v>24.51</v>
      </c>
      <c r="U17" s="102">
        <v>24</v>
      </c>
      <c r="V17" s="102">
        <v>24.34</v>
      </c>
      <c r="W17" s="102">
        <v>24.4</v>
      </c>
      <c r="X17" s="102">
        <v>24.35</v>
      </c>
      <c r="Y17" s="92">
        <v>24.75</v>
      </c>
      <c r="Z17" s="92">
        <v>27.6</v>
      </c>
      <c r="AA17" s="92">
        <v>26.18</v>
      </c>
      <c r="AB17" s="92">
        <v>30.6</v>
      </c>
      <c r="AC17" s="92">
        <v>27.66</v>
      </c>
      <c r="AD17" s="92">
        <v>32.9</v>
      </c>
      <c r="AE17" s="92">
        <v>28.97</v>
      </c>
      <c r="AF17" s="102">
        <v>33.049999999999997</v>
      </c>
      <c r="AG17" s="102"/>
      <c r="AH17" s="102"/>
      <c r="AI17" s="102"/>
      <c r="AJ17" s="102"/>
      <c r="AK17" s="102"/>
      <c r="AL17" s="102"/>
    </row>
    <row r="18" spans="2:38" ht="15.75" x14ac:dyDescent="0.3">
      <c r="B18" s="53" t="s">
        <v>739</v>
      </c>
      <c r="C18" s="53" t="s">
        <v>733</v>
      </c>
      <c r="D18" s="102">
        <v>7</v>
      </c>
      <c r="E18" s="102">
        <v>7.3</v>
      </c>
      <c r="F18" s="102">
        <v>7.2</v>
      </c>
      <c r="G18" s="102">
        <v>8</v>
      </c>
      <c r="H18" s="102">
        <v>7.4</v>
      </c>
      <c r="I18" s="102">
        <v>8.4</v>
      </c>
      <c r="J18" s="102">
        <v>7.7</v>
      </c>
      <c r="K18" s="92">
        <v>5.6</v>
      </c>
      <c r="L18" s="92">
        <v>5.8</v>
      </c>
      <c r="M18" s="92">
        <v>5.7</v>
      </c>
      <c r="N18" s="92">
        <v>4.5</v>
      </c>
      <c r="O18" s="92">
        <v>5.3</v>
      </c>
      <c r="P18" s="92">
        <v>5.5</v>
      </c>
      <c r="Q18" s="92">
        <v>5.4</v>
      </c>
      <c r="R18" s="102">
        <v>5.2</v>
      </c>
      <c r="S18" s="102">
        <v>4.8</v>
      </c>
      <c r="T18" s="102">
        <v>5</v>
      </c>
      <c r="U18" s="102">
        <v>5.9</v>
      </c>
      <c r="V18" s="102">
        <v>5.3</v>
      </c>
      <c r="W18" s="102">
        <v>7.5</v>
      </c>
      <c r="X18" s="102">
        <v>5.8</v>
      </c>
      <c r="Y18" s="92">
        <v>9.8000000000000007</v>
      </c>
      <c r="Z18" s="92">
        <v>14.4</v>
      </c>
      <c r="AA18" s="92">
        <v>12.1</v>
      </c>
      <c r="AB18" s="92">
        <v>18.899999999999999</v>
      </c>
      <c r="AC18" s="92">
        <v>13.5</v>
      </c>
      <c r="AD18" s="92">
        <v>20.5</v>
      </c>
      <c r="AE18" s="92">
        <v>15.9</v>
      </c>
      <c r="AF18" s="102">
        <v>22.1</v>
      </c>
      <c r="AG18" s="102"/>
      <c r="AH18" s="102"/>
      <c r="AI18" s="102"/>
      <c r="AJ18" s="102"/>
      <c r="AK18" s="102"/>
      <c r="AL18" s="102"/>
    </row>
    <row r="19" spans="2:38" x14ac:dyDescent="0.2">
      <c r="B19" s="53" t="s">
        <v>736</v>
      </c>
      <c r="C19" s="53" t="s">
        <v>735</v>
      </c>
      <c r="D19" s="102">
        <v>1.1299999999999999</v>
      </c>
      <c r="E19" s="102">
        <v>1.1100000000000001</v>
      </c>
      <c r="F19" s="102">
        <v>1.1200000000000001</v>
      </c>
      <c r="G19" s="102">
        <v>1.1100000000000001</v>
      </c>
      <c r="H19" s="102">
        <v>1.1100000000000001</v>
      </c>
      <c r="I19" s="102">
        <v>1.0900000000000001</v>
      </c>
      <c r="J19" s="102">
        <v>1.1100000000000001</v>
      </c>
      <c r="K19" s="92">
        <v>1.1000000000000001</v>
      </c>
      <c r="L19" s="92">
        <v>1.1299999999999999</v>
      </c>
      <c r="M19" s="92">
        <v>1.1200000000000001</v>
      </c>
      <c r="N19" s="92">
        <v>1.1200000000000001</v>
      </c>
      <c r="O19" s="92">
        <v>1.1200000000000001</v>
      </c>
      <c r="P19" s="92">
        <v>1.08</v>
      </c>
      <c r="Q19" s="92">
        <v>1.1100000000000001</v>
      </c>
      <c r="R19" s="102">
        <v>1.06</v>
      </c>
      <c r="S19" s="102">
        <v>1.1000000000000001</v>
      </c>
      <c r="T19" s="102">
        <v>1.08</v>
      </c>
      <c r="U19" s="102">
        <v>1.17</v>
      </c>
      <c r="V19" s="102">
        <v>1.1100000000000001</v>
      </c>
      <c r="W19" s="102">
        <v>1.18</v>
      </c>
      <c r="X19" s="102">
        <v>1.1299999999999999</v>
      </c>
      <c r="Y19" s="92">
        <v>1.23</v>
      </c>
      <c r="Z19" s="92">
        <v>1.19</v>
      </c>
      <c r="AA19" s="92">
        <v>1.21</v>
      </c>
      <c r="AB19" s="92">
        <v>1.1599999999999999</v>
      </c>
      <c r="AC19" s="92">
        <v>1.19</v>
      </c>
      <c r="AD19" s="92">
        <v>1.1399999999999999</v>
      </c>
      <c r="AE19" s="92">
        <v>1.18</v>
      </c>
      <c r="AF19" s="102">
        <v>1.1399999999999999</v>
      </c>
      <c r="AG19" s="102"/>
      <c r="AH19" s="102"/>
      <c r="AI19" s="102"/>
      <c r="AJ19" s="102"/>
      <c r="AK19" s="102"/>
      <c r="AL19" s="102"/>
    </row>
    <row r="20" spans="2:38" x14ac:dyDescent="0.2">
      <c r="B20" s="53" t="s">
        <v>874</v>
      </c>
      <c r="C20" s="53" t="s">
        <v>734</v>
      </c>
      <c r="D20" s="102">
        <v>55.2</v>
      </c>
      <c r="E20" s="102">
        <v>63.6</v>
      </c>
      <c r="F20" s="102">
        <v>59.4</v>
      </c>
      <c r="G20" s="102">
        <v>51.2</v>
      </c>
      <c r="H20" s="102">
        <v>56.7</v>
      </c>
      <c r="I20" s="102">
        <v>44.7</v>
      </c>
      <c r="J20" s="102">
        <v>53.7</v>
      </c>
      <c r="K20" s="92">
        <v>35.1</v>
      </c>
      <c r="L20" s="92">
        <v>47</v>
      </c>
      <c r="M20" s="92">
        <v>41</v>
      </c>
      <c r="N20" s="92">
        <v>47</v>
      </c>
      <c r="O20" s="92">
        <v>43</v>
      </c>
      <c r="P20" s="92">
        <v>52.1</v>
      </c>
      <c r="Q20" s="92">
        <v>45.1</v>
      </c>
      <c r="R20" s="102">
        <v>54.7</v>
      </c>
      <c r="S20" s="102">
        <v>50.9</v>
      </c>
      <c r="T20" s="102">
        <v>52.8</v>
      </c>
      <c r="U20" s="102">
        <v>52.2</v>
      </c>
      <c r="V20" s="102">
        <v>52.6</v>
      </c>
      <c r="W20" s="102">
        <v>61.5</v>
      </c>
      <c r="X20" s="102">
        <v>54.8</v>
      </c>
      <c r="Y20" s="92">
        <v>67.099999999999994</v>
      </c>
      <c r="Z20" s="92">
        <v>74.900000000000006</v>
      </c>
      <c r="AA20" s="92">
        <v>71</v>
      </c>
      <c r="AB20" s="92">
        <v>76</v>
      </c>
      <c r="AC20" s="92">
        <v>72.7</v>
      </c>
      <c r="AD20" s="92">
        <v>68.099999999999994</v>
      </c>
      <c r="AE20" s="92">
        <v>71.5</v>
      </c>
      <c r="AF20" s="102">
        <v>63.9</v>
      </c>
      <c r="AG20" s="102"/>
      <c r="AH20" s="102"/>
      <c r="AI20" s="102"/>
      <c r="AJ20" s="102"/>
      <c r="AK20" s="102"/>
      <c r="AL20" s="102"/>
    </row>
    <row r="21" spans="2:38" ht="15" thickBot="1" x14ac:dyDescent="0.25">
      <c r="B21" s="89" t="s">
        <v>874</v>
      </c>
      <c r="C21" s="89" t="s">
        <v>737</v>
      </c>
      <c r="D21" s="103">
        <v>49.1</v>
      </c>
      <c r="E21" s="103">
        <v>57.5</v>
      </c>
      <c r="F21" s="103">
        <v>53.3</v>
      </c>
      <c r="G21" s="103">
        <v>46.1</v>
      </c>
      <c r="H21" s="103">
        <v>50.9</v>
      </c>
      <c r="I21" s="103">
        <v>40.799999999999997</v>
      </c>
      <c r="J21" s="103">
        <v>48.4</v>
      </c>
      <c r="K21" s="104">
        <v>31.9</v>
      </c>
      <c r="L21" s="104">
        <v>41.6</v>
      </c>
      <c r="M21" s="104">
        <v>36.700000000000003</v>
      </c>
      <c r="N21" s="104">
        <v>42.1</v>
      </c>
      <c r="O21" s="104">
        <v>38.5</v>
      </c>
      <c r="P21" s="104">
        <v>47.5</v>
      </c>
      <c r="Q21" s="104">
        <v>40.799999999999997</v>
      </c>
      <c r="R21" s="103">
        <v>51.4</v>
      </c>
      <c r="S21" s="103">
        <v>46.4</v>
      </c>
      <c r="T21" s="103">
        <v>48.9</v>
      </c>
      <c r="U21" s="103">
        <v>44.4</v>
      </c>
      <c r="V21" s="103">
        <v>47.4</v>
      </c>
      <c r="W21" s="103">
        <v>52.2</v>
      </c>
      <c r="X21" s="103">
        <v>48.6</v>
      </c>
      <c r="Y21" s="104">
        <v>54.6</v>
      </c>
      <c r="Z21" s="104">
        <v>62.9</v>
      </c>
      <c r="AA21" s="104">
        <v>58.8</v>
      </c>
      <c r="AB21" s="104">
        <v>65.3</v>
      </c>
      <c r="AC21" s="104">
        <v>60.9</v>
      </c>
      <c r="AD21" s="104">
        <v>59.6</v>
      </c>
      <c r="AE21" s="104">
        <v>60.6</v>
      </c>
      <c r="AF21" s="103">
        <v>56.3</v>
      </c>
      <c r="AG21" s="103"/>
      <c r="AH21" s="103"/>
      <c r="AI21" s="103"/>
      <c r="AJ21" s="103"/>
      <c r="AK21" s="103"/>
      <c r="AL21" s="103"/>
    </row>
    <row r="23" spans="2:38" x14ac:dyDescent="0.2">
      <c r="B23" s="159" t="s">
        <v>758</v>
      </c>
    </row>
    <row r="24" spans="2:38" x14ac:dyDescent="0.2">
      <c r="B24" s="85" t="s">
        <v>873</v>
      </c>
    </row>
    <row r="25" spans="2:38" x14ac:dyDescent="0.2">
      <c r="B25" s="85" t="s">
        <v>914</v>
      </c>
    </row>
    <row r="26" spans="2:38" x14ac:dyDescent="0.2">
      <c r="B26" s="85" t="s">
        <v>876</v>
      </c>
    </row>
    <row r="27" spans="2:38" x14ac:dyDescent="0.2">
      <c r="B27" s="85" t="s">
        <v>915</v>
      </c>
      <c r="C27" s="85"/>
    </row>
    <row r="28" spans="2:38" x14ac:dyDescent="0.2">
      <c r="C28" s="90"/>
    </row>
    <row r="29" spans="2:38" x14ac:dyDescent="0.2">
      <c r="C29" s="85"/>
    </row>
    <row r="30" spans="2:38" x14ac:dyDescent="0.2">
      <c r="C30" s="85"/>
    </row>
  </sheetData>
  <mergeCells count="5">
    <mergeCell ref="K9:Q9"/>
    <mergeCell ref="Y9:AE9"/>
    <mergeCell ref="R9:X9"/>
    <mergeCell ref="AF9:AL9"/>
    <mergeCell ref="D9:J9"/>
  </mergeCells>
  <pageMargins left="0.70866141732283472" right="0.70866141732283472" top="0.74803149606299213" bottom="0.74803149606299213" header="0.31496062992125984" footer="0.31496062992125984"/>
  <pageSetup paperSize="8" scale="5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52592-66E3-4A98-83E8-2264C8E2DB73}">
  <sheetPr>
    <tabColor theme="6"/>
  </sheetPr>
  <dimension ref="B2:AL40"/>
  <sheetViews>
    <sheetView showGridLines="0" topLeftCell="C16" zoomScaleNormal="100" workbookViewId="0">
      <selection activeCell="B40" sqref="B40"/>
    </sheetView>
  </sheetViews>
  <sheetFormatPr defaultColWidth="9.140625" defaultRowHeight="14.25" x14ac:dyDescent="0.2"/>
  <cols>
    <col min="1" max="1" width="5.7109375" style="15" customWidth="1"/>
    <col min="2" max="2" width="31.5703125" style="15" customWidth="1"/>
    <col min="3" max="3" width="11.42578125" style="15" bestFit="1" customWidth="1"/>
    <col min="4" max="4" width="9.5703125" style="15" bestFit="1" customWidth="1"/>
    <col min="5" max="5" width="10.28515625" style="15" bestFit="1" customWidth="1"/>
    <col min="6" max="6" width="9.5703125" style="15" bestFit="1" customWidth="1"/>
    <col min="7" max="7" width="10.28515625" style="15" bestFit="1" customWidth="1"/>
    <col min="8" max="10" width="9.5703125" style="15" bestFit="1" customWidth="1"/>
    <col min="11" max="11" width="10.28515625" style="15" bestFit="1" customWidth="1"/>
    <col min="12" max="16" width="9.5703125" style="15" bestFit="1" customWidth="1"/>
    <col min="17" max="17" width="10.28515625" style="15" bestFit="1" customWidth="1"/>
    <col min="18" max="19" width="9.5703125" style="15" bestFit="1" customWidth="1"/>
    <col min="20" max="16384" width="9.140625" style="15"/>
  </cols>
  <sheetData>
    <row r="2" spans="2:38" x14ac:dyDescent="0.2">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row>
    <row r="3" spans="2:38" x14ac:dyDescent="0.2">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row>
    <row r="4" spans="2:38" x14ac:dyDescent="0.2">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row>
    <row r="5" spans="2:38" x14ac:dyDescent="0.2">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row>
    <row r="6" spans="2:38" x14ac:dyDescent="0.2">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2:38" x14ac:dyDescent="0.2">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row>
    <row r="8" spans="2:38" x14ac:dyDescent="0.2">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row>
    <row r="9" spans="2:38" ht="19.5" thickBot="1" x14ac:dyDescent="0.3">
      <c r="B9" s="69" t="s">
        <v>877</v>
      </c>
      <c r="C9" s="77"/>
      <c r="D9" s="77"/>
      <c r="E9" s="77"/>
      <c r="F9" s="77">
        <v>2015</v>
      </c>
      <c r="G9" s="77"/>
      <c r="H9" s="77"/>
      <c r="I9" s="78"/>
      <c r="J9" s="77"/>
      <c r="K9" s="77"/>
      <c r="L9" s="77"/>
      <c r="M9" s="77">
        <v>2016</v>
      </c>
      <c r="N9" s="77"/>
      <c r="O9" s="77"/>
      <c r="P9" s="79"/>
      <c r="Q9" s="77"/>
      <c r="R9" s="77"/>
      <c r="S9" s="77"/>
      <c r="T9" s="77">
        <v>2017</v>
      </c>
      <c r="U9" s="77"/>
      <c r="V9" s="77"/>
      <c r="W9" s="78"/>
      <c r="X9" s="77"/>
      <c r="Y9" s="77"/>
      <c r="Z9" s="77"/>
      <c r="AA9" s="77">
        <v>2018</v>
      </c>
      <c r="AB9" s="77"/>
      <c r="AC9" s="77"/>
      <c r="AD9" s="79"/>
      <c r="AE9" s="77"/>
      <c r="AF9" s="77"/>
      <c r="AG9" s="77"/>
      <c r="AH9" s="77">
        <v>2019</v>
      </c>
      <c r="AI9" s="77"/>
      <c r="AJ9" s="77"/>
      <c r="AK9" s="78"/>
      <c r="AL9" s="13"/>
    </row>
    <row r="10" spans="2:38" ht="15" thickBot="1" x14ac:dyDescent="0.25">
      <c r="B10" s="188" t="s">
        <v>771</v>
      </c>
      <c r="C10" s="82" t="s">
        <v>621</v>
      </c>
      <c r="D10" s="82" t="s">
        <v>622</v>
      </c>
      <c r="E10" s="82" t="s">
        <v>623</v>
      </c>
      <c r="F10" s="82" t="s">
        <v>624</v>
      </c>
      <c r="G10" s="82" t="s">
        <v>81</v>
      </c>
      <c r="H10" s="82" t="s">
        <v>625</v>
      </c>
      <c r="I10" s="82" t="s">
        <v>82</v>
      </c>
      <c r="J10" s="73" t="s">
        <v>621</v>
      </c>
      <c r="K10" s="73" t="s">
        <v>622</v>
      </c>
      <c r="L10" s="73" t="s">
        <v>623</v>
      </c>
      <c r="M10" s="73" t="s">
        <v>624</v>
      </c>
      <c r="N10" s="73" t="s">
        <v>81</v>
      </c>
      <c r="O10" s="73" t="s">
        <v>625</v>
      </c>
      <c r="P10" s="73" t="s">
        <v>82</v>
      </c>
      <c r="Q10" s="82" t="s">
        <v>621</v>
      </c>
      <c r="R10" s="82" t="s">
        <v>622</v>
      </c>
      <c r="S10" s="82" t="s">
        <v>623</v>
      </c>
      <c r="T10" s="82" t="s">
        <v>624</v>
      </c>
      <c r="U10" s="82" t="s">
        <v>81</v>
      </c>
      <c r="V10" s="82" t="s">
        <v>625</v>
      </c>
      <c r="W10" s="82" t="s">
        <v>82</v>
      </c>
      <c r="X10" s="73" t="s">
        <v>621</v>
      </c>
      <c r="Y10" s="73" t="s">
        <v>622</v>
      </c>
      <c r="Z10" s="73" t="s">
        <v>623</v>
      </c>
      <c r="AA10" s="73" t="s">
        <v>624</v>
      </c>
      <c r="AB10" s="73" t="s">
        <v>81</v>
      </c>
      <c r="AC10" s="73" t="s">
        <v>625</v>
      </c>
      <c r="AD10" s="73" t="s">
        <v>82</v>
      </c>
      <c r="AE10" s="82" t="s">
        <v>621</v>
      </c>
      <c r="AF10" s="82" t="s">
        <v>622</v>
      </c>
      <c r="AG10" s="82" t="s">
        <v>623</v>
      </c>
      <c r="AH10" s="82" t="s">
        <v>624</v>
      </c>
      <c r="AI10" s="82" t="s">
        <v>81</v>
      </c>
      <c r="AJ10" s="82" t="s">
        <v>625</v>
      </c>
      <c r="AK10" s="82" t="s">
        <v>82</v>
      </c>
      <c r="AL10" s="13"/>
    </row>
    <row r="11" spans="2:38" ht="15" x14ac:dyDescent="0.25">
      <c r="B11" s="70"/>
      <c r="C11" s="83"/>
      <c r="D11" s="83"/>
      <c r="E11" s="83"/>
      <c r="F11" s="83"/>
      <c r="G11" s="83"/>
      <c r="H11" s="83"/>
      <c r="I11" s="83"/>
      <c r="J11" s="71"/>
      <c r="K11" s="71"/>
      <c r="L11" s="71"/>
      <c r="M11" s="71"/>
      <c r="N11" s="71"/>
      <c r="O11" s="71"/>
      <c r="P11" s="71"/>
      <c r="Q11" s="83"/>
      <c r="R11" s="83"/>
      <c r="S11" s="83"/>
      <c r="T11" s="83"/>
      <c r="U11" s="83"/>
      <c r="V11" s="83"/>
      <c r="W11" s="83"/>
      <c r="X11" s="71"/>
      <c r="Y11" s="71"/>
      <c r="Z11" s="71"/>
      <c r="AA11" s="71"/>
      <c r="AB11" s="71"/>
      <c r="AC11" s="71"/>
      <c r="AD11" s="71"/>
      <c r="AE11" s="83"/>
      <c r="AF11" s="83"/>
      <c r="AG11" s="83"/>
      <c r="AH11" s="83"/>
      <c r="AI11" s="83"/>
      <c r="AJ11" s="83"/>
      <c r="AK11" s="83"/>
      <c r="AL11" s="13"/>
    </row>
    <row r="12" spans="2:38" x14ac:dyDescent="0.2">
      <c r="B12" s="74" t="s">
        <v>694</v>
      </c>
      <c r="C12" s="98">
        <v>45.1</v>
      </c>
      <c r="D12" s="98">
        <f>E12-C12</f>
        <v>38.699999999999996</v>
      </c>
      <c r="E12" s="98">
        <v>83.8</v>
      </c>
      <c r="F12" s="98">
        <f>G12-E12</f>
        <v>50.8</v>
      </c>
      <c r="G12" s="98">
        <v>134.6</v>
      </c>
      <c r="H12" s="98">
        <f>I12-G12</f>
        <v>46.300000000000011</v>
      </c>
      <c r="I12" s="98">
        <v>180.9</v>
      </c>
      <c r="J12" s="99">
        <v>46.9</v>
      </c>
      <c r="K12" s="99">
        <f>L12-J12</f>
        <v>38.1</v>
      </c>
      <c r="L12" s="99">
        <v>85</v>
      </c>
      <c r="M12" s="99">
        <f t="shared" ref="M12:M21" si="0">N12-L12</f>
        <v>49.599999999999994</v>
      </c>
      <c r="N12" s="99">
        <v>134.6</v>
      </c>
      <c r="O12" s="99">
        <f t="shared" ref="O12:O21" si="1">P12-N12</f>
        <v>56.200000000000017</v>
      </c>
      <c r="P12" s="99">
        <v>190.8</v>
      </c>
      <c r="Q12" s="98">
        <v>52.6</v>
      </c>
      <c r="R12" s="98">
        <f>S12-Q12</f>
        <v>44.300000000000004</v>
      </c>
      <c r="S12" s="98">
        <v>96.9</v>
      </c>
      <c r="T12" s="98">
        <f>U12-S12</f>
        <v>49.199999999999989</v>
      </c>
      <c r="U12" s="98">
        <v>146.1</v>
      </c>
      <c r="V12" s="98">
        <f>W12-U12</f>
        <v>54.200000000000017</v>
      </c>
      <c r="W12" s="98">
        <v>200.3</v>
      </c>
      <c r="X12" s="99">
        <v>48.5</v>
      </c>
      <c r="Y12" s="99">
        <f>Z12-X12</f>
        <v>37.700000000000003</v>
      </c>
      <c r="Z12" s="99">
        <v>86.2</v>
      </c>
      <c r="AA12" s="99">
        <f>AB12-Z12</f>
        <v>49.100000000000009</v>
      </c>
      <c r="AB12" s="99">
        <v>135.30000000000001</v>
      </c>
      <c r="AC12" s="99">
        <f>AD12-AB12</f>
        <v>49.699999999999989</v>
      </c>
      <c r="AD12" s="99">
        <v>185</v>
      </c>
      <c r="AE12" s="98">
        <v>49.4</v>
      </c>
      <c r="AF12" s="98"/>
      <c r="AG12" s="98"/>
      <c r="AH12" s="98"/>
      <c r="AI12" s="98"/>
      <c r="AJ12" s="98"/>
      <c r="AK12" s="98"/>
      <c r="AL12" s="13"/>
    </row>
    <row r="13" spans="2:38" x14ac:dyDescent="0.2">
      <c r="B13" s="74" t="s">
        <v>695</v>
      </c>
      <c r="C13" s="98">
        <v>9.6</v>
      </c>
      <c r="D13" s="98">
        <f>E13-C13</f>
        <v>14.000000000000002</v>
      </c>
      <c r="E13" s="98">
        <v>23.6</v>
      </c>
      <c r="F13" s="98">
        <f>G13-E13</f>
        <v>13.699999999999996</v>
      </c>
      <c r="G13" s="98">
        <v>37.299999999999997</v>
      </c>
      <c r="H13" s="98">
        <f t="shared" ref="H13:H21" si="2">I13-G13</f>
        <v>7.5</v>
      </c>
      <c r="I13" s="98">
        <v>44.8</v>
      </c>
      <c r="J13" s="99">
        <v>7.9</v>
      </c>
      <c r="K13" s="99">
        <f t="shared" ref="K13:K21" si="3">L13-J13</f>
        <v>13.6</v>
      </c>
      <c r="L13" s="99">
        <v>21.5</v>
      </c>
      <c r="M13" s="99">
        <f t="shared" si="0"/>
        <v>13.399999999999999</v>
      </c>
      <c r="N13" s="99">
        <v>34.9</v>
      </c>
      <c r="O13" s="99">
        <f t="shared" si="1"/>
        <v>8.8999999999999986</v>
      </c>
      <c r="P13" s="99">
        <v>43.8</v>
      </c>
      <c r="Q13" s="98">
        <v>7.7</v>
      </c>
      <c r="R13" s="98">
        <f t="shared" ref="R13:R21" si="4">S13-Q13</f>
        <v>11.400000000000002</v>
      </c>
      <c r="S13" s="98">
        <v>19.100000000000001</v>
      </c>
      <c r="T13" s="98">
        <f t="shared" ref="T13:T21" si="5">U13-S13</f>
        <v>11.899999999999999</v>
      </c>
      <c r="U13" s="98">
        <v>31</v>
      </c>
      <c r="V13" s="98">
        <f t="shared" ref="V13:V21" si="6">W13-U13</f>
        <v>6.6000000000000014</v>
      </c>
      <c r="W13" s="98">
        <v>37.6</v>
      </c>
      <c r="X13" s="99">
        <v>8.5</v>
      </c>
      <c r="Y13" s="99">
        <f t="shared" ref="Y13:Y21" si="7">Z13-X13</f>
        <v>17.5</v>
      </c>
      <c r="Z13" s="99">
        <v>26</v>
      </c>
      <c r="AA13" s="99">
        <f t="shared" ref="AA13:AA21" si="8">AB13-Z13</f>
        <v>12.399999999999999</v>
      </c>
      <c r="AB13" s="99">
        <v>38.4</v>
      </c>
      <c r="AC13" s="99">
        <f t="shared" ref="AC13:AC21" si="9">AD13-AB13</f>
        <v>10.899999999999999</v>
      </c>
      <c r="AD13" s="99">
        <v>49.3</v>
      </c>
      <c r="AE13" s="98">
        <v>7.5</v>
      </c>
      <c r="AF13" s="98"/>
      <c r="AG13" s="98"/>
      <c r="AH13" s="98"/>
      <c r="AI13" s="98"/>
      <c r="AJ13" s="98"/>
      <c r="AK13" s="98"/>
      <c r="AL13" s="13"/>
    </row>
    <row r="14" spans="2:38" x14ac:dyDescent="0.2">
      <c r="B14" s="74" t="s">
        <v>696</v>
      </c>
      <c r="C14" s="98">
        <v>4.5</v>
      </c>
      <c r="D14" s="98">
        <f>E14-C14</f>
        <v>8.5</v>
      </c>
      <c r="E14" s="98">
        <v>13</v>
      </c>
      <c r="F14" s="98">
        <f>G14-E14</f>
        <v>6.1999999999999993</v>
      </c>
      <c r="G14" s="98">
        <v>19.2</v>
      </c>
      <c r="H14" s="98">
        <f t="shared" si="2"/>
        <v>5.5</v>
      </c>
      <c r="I14" s="98">
        <v>24.7</v>
      </c>
      <c r="J14" s="99">
        <v>4</v>
      </c>
      <c r="K14" s="99">
        <f t="shared" si="3"/>
        <v>7.3000000000000007</v>
      </c>
      <c r="L14" s="99">
        <v>11.3</v>
      </c>
      <c r="M14" s="99">
        <f t="shared" si="0"/>
        <v>7.1999999999999993</v>
      </c>
      <c r="N14" s="99">
        <v>18.5</v>
      </c>
      <c r="O14" s="99">
        <f t="shared" si="1"/>
        <v>3.3000000000000007</v>
      </c>
      <c r="P14" s="99">
        <v>21.8</v>
      </c>
      <c r="Q14" s="98">
        <v>4.5999999999999996</v>
      </c>
      <c r="R14" s="98">
        <f t="shared" si="4"/>
        <v>8.1</v>
      </c>
      <c r="S14" s="98">
        <v>12.7</v>
      </c>
      <c r="T14" s="98">
        <f t="shared" si="5"/>
        <v>7.6999999999999993</v>
      </c>
      <c r="U14" s="98">
        <v>20.399999999999999</v>
      </c>
      <c r="V14" s="98">
        <f t="shared" si="6"/>
        <v>3.6000000000000014</v>
      </c>
      <c r="W14" s="98">
        <v>24</v>
      </c>
      <c r="X14" s="99">
        <v>3.8</v>
      </c>
      <c r="Y14" s="99">
        <f t="shared" si="7"/>
        <v>7.6000000000000005</v>
      </c>
      <c r="Z14" s="99">
        <v>11.4</v>
      </c>
      <c r="AA14" s="99">
        <f t="shared" si="8"/>
        <v>8.1</v>
      </c>
      <c r="AB14" s="99">
        <v>19.5</v>
      </c>
      <c r="AC14" s="99">
        <f t="shared" si="9"/>
        <v>3.3999999999999986</v>
      </c>
      <c r="AD14" s="99">
        <v>22.9</v>
      </c>
      <c r="AE14" s="98">
        <v>5.0999999999999996</v>
      </c>
      <c r="AF14" s="98"/>
      <c r="AG14" s="98"/>
      <c r="AH14" s="98"/>
      <c r="AI14" s="98"/>
      <c r="AJ14" s="98"/>
      <c r="AK14" s="98"/>
      <c r="AL14" s="13"/>
    </row>
    <row r="15" spans="2:38" x14ac:dyDescent="0.2">
      <c r="B15" s="74" t="s">
        <v>697</v>
      </c>
      <c r="C15" s="98">
        <v>5.2</v>
      </c>
      <c r="D15" s="98">
        <f>E15-C15</f>
        <v>3.7</v>
      </c>
      <c r="E15" s="98">
        <v>8.9</v>
      </c>
      <c r="F15" s="98">
        <f>G15-E15</f>
        <v>2.7999999999999989</v>
      </c>
      <c r="G15" s="98">
        <v>11.7</v>
      </c>
      <c r="H15" s="98">
        <f t="shared" si="2"/>
        <v>2.9000000000000004</v>
      </c>
      <c r="I15" s="98">
        <v>14.6</v>
      </c>
      <c r="J15" s="99">
        <v>5.9</v>
      </c>
      <c r="K15" s="99">
        <f t="shared" si="3"/>
        <v>4.4000000000000004</v>
      </c>
      <c r="L15" s="99">
        <v>10.3</v>
      </c>
      <c r="M15" s="99">
        <f t="shared" si="0"/>
        <v>3</v>
      </c>
      <c r="N15" s="99">
        <v>13.3</v>
      </c>
      <c r="O15" s="99">
        <f t="shared" si="1"/>
        <v>4.1999999999999993</v>
      </c>
      <c r="P15" s="99">
        <v>17.5</v>
      </c>
      <c r="Q15" s="98">
        <v>5.3</v>
      </c>
      <c r="R15" s="98">
        <f t="shared" si="4"/>
        <v>3.5000000000000009</v>
      </c>
      <c r="S15" s="98">
        <v>8.8000000000000007</v>
      </c>
      <c r="T15" s="98">
        <f t="shared" si="5"/>
        <v>3.6999999999999993</v>
      </c>
      <c r="U15" s="98">
        <v>12.5</v>
      </c>
      <c r="V15" s="98">
        <f t="shared" si="6"/>
        <v>5.1000000000000014</v>
      </c>
      <c r="W15" s="98">
        <v>17.600000000000001</v>
      </c>
      <c r="X15" s="99">
        <v>6.1</v>
      </c>
      <c r="Y15" s="99">
        <f t="shared" si="7"/>
        <v>3.5</v>
      </c>
      <c r="Z15" s="99">
        <v>9.6</v>
      </c>
      <c r="AA15" s="99">
        <f t="shared" si="8"/>
        <v>3</v>
      </c>
      <c r="AB15" s="99">
        <v>12.6</v>
      </c>
      <c r="AC15" s="99">
        <f t="shared" si="9"/>
        <v>4.7000000000000011</v>
      </c>
      <c r="AD15" s="99">
        <v>17.3</v>
      </c>
      <c r="AE15" s="98">
        <v>7.1</v>
      </c>
      <c r="AF15" s="98"/>
      <c r="AG15" s="98"/>
      <c r="AH15" s="98"/>
      <c r="AI15" s="98"/>
      <c r="AJ15" s="98"/>
      <c r="AK15" s="98"/>
      <c r="AL15" s="13"/>
    </row>
    <row r="16" spans="2:38" x14ac:dyDescent="0.2">
      <c r="B16" s="74" t="s">
        <v>698</v>
      </c>
      <c r="C16" s="98">
        <v>1.4</v>
      </c>
      <c r="D16" s="98">
        <f>E16-C16</f>
        <v>1.5</v>
      </c>
      <c r="E16" s="98">
        <v>2.9</v>
      </c>
      <c r="F16" s="98">
        <f>G16-E16</f>
        <v>1.4</v>
      </c>
      <c r="G16" s="98">
        <v>4.3</v>
      </c>
      <c r="H16" s="98">
        <f t="shared" si="2"/>
        <v>1.5</v>
      </c>
      <c r="I16" s="98">
        <v>5.8</v>
      </c>
      <c r="J16" s="99">
        <v>1.5</v>
      </c>
      <c r="K16" s="99">
        <f t="shared" si="3"/>
        <v>1.5</v>
      </c>
      <c r="L16" s="99">
        <v>3</v>
      </c>
      <c r="M16" s="99">
        <f t="shared" si="0"/>
        <v>1.4000000000000004</v>
      </c>
      <c r="N16" s="99">
        <v>4.4000000000000004</v>
      </c>
      <c r="O16" s="99">
        <f t="shared" si="1"/>
        <v>1.5</v>
      </c>
      <c r="P16" s="99">
        <v>5.9</v>
      </c>
      <c r="Q16" s="98">
        <v>1.5</v>
      </c>
      <c r="R16" s="98">
        <f t="shared" si="4"/>
        <v>1.4</v>
      </c>
      <c r="S16" s="98">
        <v>2.9</v>
      </c>
      <c r="T16" s="98">
        <f t="shared" si="5"/>
        <v>1.5000000000000004</v>
      </c>
      <c r="U16" s="98">
        <v>4.4000000000000004</v>
      </c>
      <c r="V16" s="98">
        <f t="shared" si="6"/>
        <v>1.3999999999999995</v>
      </c>
      <c r="W16" s="98">
        <v>5.8</v>
      </c>
      <c r="X16" s="99">
        <v>1.4</v>
      </c>
      <c r="Y16" s="99">
        <f t="shared" si="7"/>
        <v>1.5</v>
      </c>
      <c r="Z16" s="99">
        <v>2.9</v>
      </c>
      <c r="AA16" s="99">
        <f t="shared" si="8"/>
        <v>1.4</v>
      </c>
      <c r="AB16" s="99">
        <v>4.3</v>
      </c>
      <c r="AC16" s="99">
        <f t="shared" si="9"/>
        <v>1.4000000000000004</v>
      </c>
      <c r="AD16" s="99">
        <v>5.7</v>
      </c>
      <c r="AE16" s="98">
        <v>1.4</v>
      </c>
      <c r="AF16" s="98"/>
      <c r="AG16" s="98"/>
      <c r="AH16" s="98"/>
      <c r="AI16" s="98"/>
      <c r="AJ16" s="98"/>
      <c r="AK16" s="98"/>
      <c r="AL16" s="13"/>
    </row>
    <row r="17" spans="2:38" ht="15" thickBot="1" x14ac:dyDescent="0.25">
      <c r="B17" s="74"/>
      <c r="C17" s="98"/>
      <c r="D17" s="98"/>
      <c r="E17" s="98"/>
      <c r="F17" s="98"/>
      <c r="G17" s="98"/>
      <c r="H17" s="98"/>
      <c r="I17" s="98"/>
      <c r="J17" s="99"/>
      <c r="K17" s="99"/>
      <c r="L17" s="99"/>
      <c r="M17" s="99"/>
      <c r="N17" s="99"/>
      <c r="O17" s="99"/>
      <c r="P17" s="99"/>
      <c r="Q17" s="98"/>
      <c r="R17" s="98"/>
      <c r="S17" s="98"/>
      <c r="T17" s="98"/>
      <c r="U17" s="98"/>
      <c r="V17" s="98"/>
      <c r="W17" s="98"/>
      <c r="X17" s="99"/>
      <c r="Y17" s="99"/>
      <c r="Z17" s="99"/>
      <c r="AA17" s="99"/>
      <c r="AB17" s="99"/>
      <c r="AC17" s="99"/>
      <c r="AD17" s="99"/>
      <c r="AE17" s="98"/>
      <c r="AF17" s="98"/>
      <c r="AG17" s="98"/>
      <c r="AH17" s="98"/>
      <c r="AI17" s="98"/>
      <c r="AJ17" s="98"/>
      <c r="AK17" s="98"/>
      <c r="AL17" s="13"/>
    </row>
    <row r="18" spans="2:38" ht="15" thickBot="1" x14ac:dyDescent="0.25">
      <c r="B18" s="72" t="s">
        <v>699</v>
      </c>
      <c r="C18" s="96">
        <f>SUM(C12:C16)</f>
        <v>65.800000000000011</v>
      </c>
      <c r="D18" s="96">
        <f t="shared" ref="D18:AE18" si="10">SUM(D12:D16)</f>
        <v>66.399999999999991</v>
      </c>
      <c r="E18" s="96">
        <f t="shared" si="10"/>
        <v>132.20000000000002</v>
      </c>
      <c r="F18" s="96">
        <f t="shared" si="10"/>
        <v>74.900000000000006</v>
      </c>
      <c r="G18" s="96">
        <f t="shared" si="10"/>
        <v>207.09999999999997</v>
      </c>
      <c r="H18" s="96">
        <f t="shared" si="10"/>
        <v>63.70000000000001</v>
      </c>
      <c r="I18" s="96">
        <f t="shared" si="10"/>
        <v>270.8</v>
      </c>
      <c r="J18" s="97">
        <f t="shared" si="10"/>
        <v>66.2</v>
      </c>
      <c r="K18" s="97">
        <f t="shared" si="10"/>
        <v>64.900000000000006</v>
      </c>
      <c r="L18" s="97">
        <f t="shared" si="10"/>
        <v>131.1</v>
      </c>
      <c r="M18" s="97">
        <f t="shared" si="10"/>
        <v>74.599999999999994</v>
      </c>
      <c r="N18" s="97">
        <f t="shared" si="10"/>
        <v>205.70000000000002</v>
      </c>
      <c r="O18" s="97">
        <f t="shared" si="10"/>
        <v>74.100000000000023</v>
      </c>
      <c r="P18" s="97">
        <f t="shared" si="10"/>
        <v>279.8</v>
      </c>
      <c r="Q18" s="96">
        <f t="shared" si="10"/>
        <v>71.7</v>
      </c>
      <c r="R18" s="96">
        <f t="shared" si="10"/>
        <v>68.700000000000017</v>
      </c>
      <c r="S18" s="96">
        <f t="shared" si="10"/>
        <v>140.4</v>
      </c>
      <c r="T18" s="96">
        <f t="shared" si="10"/>
        <v>73.999999999999986</v>
      </c>
      <c r="U18" s="96">
        <f t="shared" si="10"/>
        <v>214.4</v>
      </c>
      <c r="V18" s="96">
        <f t="shared" si="10"/>
        <v>70.900000000000034</v>
      </c>
      <c r="W18" s="96">
        <f t="shared" si="10"/>
        <v>285.3</v>
      </c>
      <c r="X18" s="97">
        <f t="shared" si="10"/>
        <v>68.3</v>
      </c>
      <c r="Y18" s="97">
        <f t="shared" si="10"/>
        <v>67.800000000000011</v>
      </c>
      <c r="Z18" s="97">
        <f t="shared" si="10"/>
        <v>136.10000000000002</v>
      </c>
      <c r="AA18" s="97">
        <f t="shared" si="10"/>
        <v>74.000000000000014</v>
      </c>
      <c r="AB18" s="97">
        <f t="shared" si="10"/>
        <v>210.10000000000002</v>
      </c>
      <c r="AC18" s="97">
        <f t="shared" si="10"/>
        <v>70.099999999999994</v>
      </c>
      <c r="AD18" s="97">
        <f t="shared" si="10"/>
        <v>280.2</v>
      </c>
      <c r="AE18" s="96">
        <f t="shared" si="10"/>
        <v>70.5</v>
      </c>
      <c r="AF18" s="96"/>
      <c r="AG18" s="96"/>
      <c r="AH18" s="96"/>
      <c r="AI18" s="96"/>
      <c r="AJ18" s="96"/>
      <c r="AK18" s="96"/>
      <c r="AL18" s="13"/>
    </row>
    <row r="19" spans="2:38" x14ac:dyDescent="0.2">
      <c r="B19" s="75"/>
      <c r="C19" s="100"/>
      <c r="D19" s="100"/>
      <c r="E19" s="100"/>
      <c r="F19" s="100"/>
      <c r="G19" s="100"/>
      <c r="H19" s="100"/>
      <c r="I19" s="100"/>
      <c r="J19" s="101"/>
      <c r="K19" s="101"/>
      <c r="L19" s="101"/>
      <c r="M19" s="101"/>
      <c r="N19" s="101"/>
      <c r="O19" s="101"/>
      <c r="P19" s="101"/>
      <c r="Q19" s="100"/>
      <c r="R19" s="100"/>
      <c r="S19" s="100"/>
      <c r="T19" s="100"/>
      <c r="U19" s="100"/>
      <c r="V19" s="100"/>
      <c r="W19" s="100"/>
      <c r="X19" s="101"/>
      <c r="Y19" s="101"/>
      <c r="Z19" s="101"/>
      <c r="AA19" s="101"/>
      <c r="AB19" s="101"/>
      <c r="AC19" s="101"/>
      <c r="AD19" s="101"/>
      <c r="AE19" s="100"/>
      <c r="AF19" s="100"/>
      <c r="AG19" s="100"/>
      <c r="AH19" s="100"/>
      <c r="AI19" s="100"/>
      <c r="AJ19" s="100"/>
      <c r="AK19" s="100"/>
      <c r="AL19" s="13"/>
    </row>
    <row r="20" spans="2:38" x14ac:dyDescent="0.2">
      <c r="B20" s="53" t="s">
        <v>907</v>
      </c>
      <c r="C20" s="91">
        <v>13.5</v>
      </c>
      <c r="D20" s="91">
        <f>E20-C20</f>
        <v>9.3999999999999986</v>
      </c>
      <c r="E20" s="91">
        <v>22.9</v>
      </c>
      <c r="F20" s="91">
        <f>G20-E20</f>
        <v>10</v>
      </c>
      <c r="G20" s="91">
        <v>32.9</v>
      </c>
      <c r="H20" s="91">
        <f t="shared" si="2"/>
        <v>13.5</v>
      </c>
      <c r="I20" s="91">
        <v>46.4</v>
      </c>
      <c r="J20" s="92">
        <v>12.9</v>
      </c>
      <c r="K20" s="92">
        <f t="shared" si="3"/>
        <v>9.7000000000000011</v>
      </c>
      <c r="L20" s="92">
        <v>22.6</v>
      </c>
      <c r="M20" s="92">
        <f t="shared" si="0"/>
        <v>8.8999999999999986</v>
      </c>
      <c r="N20" s="92">
        <v>31.5</v>
      </c>
      <c r="O20" s="92">
        <f t="shared" si="1"/>
        <v>5.5</v>
      </c>
      <c r="P20" s="92">
        <v>37</v>
      </c>
      <c r="Q20" s="91">
        <v>9.1999999999999993</v>
      </c>
      <c r="R20" s="91">
        <f t="shared" si="4"/>
        <v>9.1000000000000014</v>
      </c>
      <c r="S20" s="91">
        <v>18.3</v>
      </c>
      <c r="T20" s="91">
        <f t="shared" si="5"/>
        <v>9.8000000000000007</v>
      </c>
      <c r="U20" s="91">
        <v>28.1</v>
      </c>
      <c r="V20" s="91">
        <f t="shared" si="6"/>
        <v>9.6999999999999957</v>
      </c>
      <c r="W20" s="91">
        <v>37.799999999999997</v>
      </c>
      <c r="X20" s="92">
        <v>13.5</v>
      </c>
      <c r="Y20" s="92">
        <f t="shared" si="7"/>
        <v>10.3</v>
      </c>
      <c r="Z20" s="92">
        <v>23.8</v>
      </c>
      <c r="AA20" s="92">
        <f t="shared" si="8"/>
        <v>10.099999999999998</v>
      </c>
      <c r="AB20" s="92">
        <v>33.9</v>
      </c>
      <c r="AC20" s="92">
        <f t="shared" si="9"/>
        <v>10</v>
      </c>
      <c r="AD20" s="92">
        <v>43.9</v>
      </c>
      <c r="AE20" s="91">
        <v>10.4</v>
      </c>
      <c r="AF20" s="91"/>
      <c r="AG20" s="91"/>
      <c r="AH20" s="91"/>
      <c r="AI20" s="91"/>
      <c r="AJ20" s="91"/>
      <c r="AK20" s="91"/>
      <c r="AL20" s="13"/>
    </row>
    <row r="21" spans="2:38" x14ac:dyDescent="0.2">
      <c r="B21" s="53" t="s">
        <v>700</v>
      </c>
      <c r="C21" s="128">
        <v>-0.5</v>
      </c>
      <c r="D21" s="128">
        <f>E21-C21</f>
        <v>-0.4</v>
      </c>
      <c r="E21" s="128">
        <v>-0.9</v>
      </c>
      <c r="F21" s="128">
        <f>G21-E21</f>
        <v>-0.49999999999999989</v>
      </c>
      <c r="G21" s="128">
        <v>-1.4</v>
      </c>
      <c r="H21" s="128">
        <f t="shared" si="2"/>
        <v>-0.5</v>
      </c>
      <c r="I21" s="128">
        <v>-1.9</v>
      </c>
      <c r="J21" s="129">
        <v>-0.6</v>
      </c>
      <c r="K21" s="129">
        <f t="shared" si="3"/>
        <v>-0.6</v>
      </c>
      <c r="L21" s="129">
        <v>-1.2</v>
      </c>
      <c r="M21" s="129">
        <f t="shared" si="0"/>
        <v>-0.5</v>
      </c>
      <c r="N21" s="129">
        <v>-1.7</v>
      </c>
      <c r="O21" s="129">
        <f t="shared" si="1"/>
        <v>-0.8</v>
      </c>
      <c r="P21" s="129">
        <v>-2.5</v>
      </c>
      <c r="Q21" s="128">
        <v>-0.7</v>
      </c>
      <c r="R21" s="128">
        <f t="shared" si="4"/>
        <v>-0.60000000000000009</v>
      </c>
      <c r="S21" s="128">
        <v>-1.3</v>
      </c>
      <c r="T21" s="128">
        <f t="shared" si="5"/>
        <v>-0.5</v>
      </c>
      <c r="U21" s="128">
        <v>-1.8</v>
      </c>
      <c r="V21" s="128">
        <f t="shared" si="6"/>
        <v>-0.7</v>
      </c>
      <c r="W21" s="128">
        <v>-2.5</v>
      </c>
      <c r="X21" s="129">
        <v>-0.7</v>
      </c>
      <c r="Y21" s="129">
        <f t="shared" si="7"/>
        <v>-0.60000000000000009</v>
      </c>
      <c r="Z21" s="129">
        <v>-1.3</v>
      </c>
      <c r="AA21" s="129">
        <f t="shared" si="8"/>
        <v>-0.39999999999999991</v>
      </c>
      <c r="AB21" s="129">
        <v>-1.7</v>
      </c>
      <c r="AC21" s="129">
        <f t="shared" si="9"/>
        <v>-0.50000000000000022</v>
      </c>
      <c r="AD21" s="129">
        <v>-2.2000000000000002</v>
      </c>
      <c r="AE21" s="128">
        <v>-0.7</v>
      </c>
      <c r="AF21" s="128"/>
      <c r="AG21" s="128"/>
      <c r="AH21" s="128"/>
      <c r="AI21" s="128"/>
      <c r="AJ21" s="128"/>
      <c r="AK21" s="128"/>
      <c r="AL21" s="13"/>
    </row>
    <row r="22" spans="2:38" ht="15" thickBot="1" x14ac:dyDescent="0.25">
      <c r="B22" s="53"/>
      <c r="C22" s="91"/>
      <c r="D22" s="91"/>
      <c r="E22" s="91"/>
      <c r="F22" s="91"/>
      <c r="G22" s="91"/>
      <c r="H22" s="91"/>
      <c r="I22" s="91"/>
      <c r="J22" s="92"/>
      <c r="K22" s="92"/>
      <c r="L22" s="92"/>
      <c r="M22" s="92"/>
      <c r="N22" s="92"/>
      <c r="O22" s="92"/>
      <c r="P22" s="92"/>
      <c r="Q22" s="91"/>
      <c r="R22" s="91"/>
      <c r="S22" s="91"/>
      <c r="T22" s="91"/>
      <c r="U22" s="91"/>
      <c r="V22" s="91"/>
      <c r="W22" s="91"/>
      <c r="X22" s="92"/>
      <c r="Y22" s="92"/>
      <c r="Z22" s="92"/>
      <c r="AA22" s="92"/>
      <c r="AB22" s="92"/>
      <c r="AC22" s="92"/>
      <c r="AD22" s="92"/>
      <c r="AE22" s="91"/>
      <c r="AF22" s="91"/>
      <c r="AG22" s="91"/>
      <c r="AH22" s="91"/>
      <c r="AI22" s="91"/>
      <c r="AJ22" s="91"/>
      <c r="AK22" s="91"/>
      <c r="AL22" s="13"/>
    </row>
    <row r="23" spans="2:38" ht="15" thickBot="1" x14ac:dyDescent="0.25">
      <c r="B23" s="72" t="s">
        <v>701</v>
      </c>
      <c r="C23" s="96">
        <f>SUM(C18:C21)</f>
        <v>78.800000000000011</v>
      </c>
      <c r="D23" s="96">
        <f>SUM(D18:D21)</f>
        <v>75.399999999999977</v>
      </c>
      <c r="E23" s="96">
        <f t="shared" ref="E23:AE23" si="11">SUM(E18:E21)</f>
        <v>154.20000000000002</v>
      </c>
      <c r="F23" s="96">
        <f t="shared" si="11"/>
        <v>84.4</v>
      </c>
      <c r="G23" s="96">
        <f t="shared" si="11"/>
        <v>238.59999999999997</v>
      </c>
      <c r="H23" s="96">
        <f t="shared" si="11"/>
        <v>76.700000000000017</v>
      </c>
      <c r="I23" s="96">
        <f t="shared" si="11"/>
        <v>315.3</v>
      </c>
      <c r="J23" s="97">
        <f t="shared" si="11"/>
        <v>78.500000000000014</v>
      </c>
      <c r="K23" s="97">
        <f t="shared" si="11"/>
        <v>74.000000000000014</v>
      </c>
      <c r="L23" s="97">
        <f t="shared" si="11"/>
        <v>152.5</v>
      </c>
      <c r="M23" s="97">
        <f t="shared" si="11"/>
        <v>83</v>
      </c>
      <c r="N23" s="97">
        <f t="shared" si="11"/>
        <v>235.50000000000003</v>
      </c>
      <c r="O23" s="97">
        <f t="shared" si="11"/>
        <v>78.800000000000026</v>
      </c>
      <c r="P23" s="97">
        <f t="shared" si="11"/>
        <v>314.3</v>
      </c>
      <c r="Q23" s="96">
        <f t="shared" si="11"/>
        <v>80.2</v>
      </c>
      <c r="R23" s="96">
        <f t="shared" si="11"/>
        <v>77.200000000000017</v>
      </c>
      <c r="S23" s="96">
        <f t="shared" si="11"/>
        <v>157.4</v>
      </c>
      <c r="T23" s="96">
        <f t="shared" si="11"/>
        <v>83.299999999999983</v>
      </c>
      <c r="U23" s="96">
        <f t="shared" si="11"/>
        <v>240.7</v>
      </c>
      <c r="V23" s="96">
        <f t="shared" si="11"/>
        <v>79.90000000000002</v>
      </c>
      <c r="W23" s="96">
        <f t="shared" si="11"/>
        <v>320.60000000000002</v>
      </c>
      <c r="X23" s="97">
        <f t="shared" si="11"/>
        <v>81.099999999999994</v>
      </c>
      <c r="Y23" s="97">
        <f t="shared" si="11"/>
        <v>77.500000000000014</v>
      </c>
      <c r="Z23" s="97">
        <f t="shared" si="11"/>
        <v>158.60000000000002</v>
      </c>
      <c r="AA23" s="97">
        <f t="shared" si="11"/>
        <v>83.7</v>
      </c>
      <c r="AB23" s="97">
        <f t="shared" si="11"/>
        <v>242.30000000000004</v>
      </c>
      <c r="AC23" s="97">
        <f t="shared" si="11"/>
        <v>79.599999999999994</v>
      </c>
      <c r="AD23" s="97">
        <f t="shared" si="11"/>
        <v>321.89999999999998</v>
      </c>
      <c r="AE23" s="96">
        <f t="shared" si="11"/>
        <v>80.2</v>
      </c>
      <c r="AF23" s="96"/>
      <c r="AG23" s="96"/>
      <c r="AH23" s="96"/>
      <c r="AI23" s="96"/>
      <c r="AJ23" s="96"/>
      <c r="AK23" s="96"/>
      <c r="AL23" s="13"/>
    </row>
    <row r="24" spans="2:38" x14ac:dyDescent="0.2">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row>
    <row r="25" spans="2:38" x14ac:dyDescent="0.2">
      <c r="B25" s="159" t="s">
        <v>918</v>
      </c>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row>
    <row r="26" spans="2:38" x14ac:dyDescent="0.2">
      <c r="B26" s="159" t="s">
        <v>917</v>
      </c>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row>
    <row r="27" spans="2:38" x14ac:dyDescent="0.2">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row>
    <row r="28" spans="2:38" x14ac:dyDescent="0.2">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row>
    <row r="29" spans="2:38" ht="16.5" thickBot="1" x14ac:dyDescent="0.3">
      <c r="B29" s="76" t="s">
        <v>916</v>
      </c>
      <c r="C29" s="77"/>
      <c r="D29" s="77"/>
      <c r="E29" s="77"/>
      <c r="F29" s="77">
        <v>2015</v>
      </c>
      <c r="G29" s="77"/>
      <c r="H29" s="77"/>
      <c r="I29" s="78"/>
      <c r="J29" s="77"/>
      <c r="K29" s="77"/>
      <c r="L29" s="77"/>
      <c r="M29" s="77">
        <v>2016</v>
      </c>
      <c r="N29" s="77"/>
      <c r="O29" s="77"/>
      <c r="P29" s="79"/>
      <c r="Q29" s="77"/>
      <c r="R29" s="77"/>
      <c r="S29" s="77"/>
      <c r="T29" s="77">
        <v>2017</v>
      </c>
      <c r="U29" s="77"/>
      <c r="V29" s="77"/>
      <c r="W29" s="78"/>
      <c r="X29" s="77"/>
      <c r="Y29" s="77"/>
      <c r="Z29" s="77"/>
      <c r="AA29" s="77">
        <v>2018</v>
      </c>
      <c r="AB29" s="77"/>
      <c r="AC29" s="77"/>
      <c r="AD29" s="79"/>
      <c r="AE29" s="77"/>
      <c r="AF29" s="77"/>
      <c r="AG29" s="77"/>
      <c r="AH29" s="77">
        <v>2019</v>
      </c>
      <c r="AI29" s="77"/>
      <c r="AJ29" s="77"/>
      <c r="AK29" s="78"/>
      <c r="AL29" s="13"/>
    </row>
    <row r="30" spans="2:38" ht="15" thickBot="1" x14ac:dyDescent="0.25">
      <c r="B30" s="114" t="s">
        <v>772</v>
      </c>
      <c r="C30" s="82" t="s">
        <v>621</v>
      </c>
      <c r="D30" s="82" t="s">
        <v>622</v>
      </c>
      <c r="E30" s="82" t="s">
        <v>623</v>
      </c>
      <c r="F30" s="82" t="s">
        <v>624</v>
      </c>
      <c r="G30" s="82" t="s">
        <v>81</v>
      </c>
      <c r="H30" s="82" t="s">
        <v>625</v>
      </c>
      <c r="I30" s="82" t="s">
        <v>82</v>
      </c>
      <c r="J30" s="73" t="s">
        <v>621</v>
      </c>
      <c r="K30" s="73" t="s">
        <v>622</v>
      </c>
      <c r="L30" s="73" t="s">
        <v>623</v>
      </c>
      <c r="M30" s="73" t="s">
        <v>624</v>
      </c>
      <c r="N30" s="73" t="s">
        <v>81</v>
      </c>
      <c r="O30" s="73" t="s">
        <v>625</v>
      </c>
      <c r="P30" s="73" t="s">
        <v>82</v>
      </c>
      <c r="Q30" s="82" t="s">
        <v>621</v>
      </c>
      <c r="R30" s="82" t="s">
        <v>622</v>
      </c>
      <c r="S30" s="82" t="s">
        <v>623</v>
      </c>
      <c r="T30" s="82" t="s">
        <v>624</v>
      </c>
      <c r="U30" s="82" t="s">
        <v>81</v>
      </c>
      <c r="V30" s="82" t="s">
        <v>625</v>
      </c>
      <c r="W30" s="82" t="s">
        <v>82</v>
      </c>
      <c r="X30" s="73" t="s">
        <v>621</v>
      </c>
      <c r="Y30" s="73" t="s">
        <v>622</v>
      </c>
      <c r="Z30" s="73" t="s">
        <v>623</v>
      </c>
      <c r="AA30" s="73" t="s">
        <v>624</v>
      </c>
      <c r="AB30" s="73" t="s">
        <v>81</v>
      </c>
      <c r="AC30" s="73" t="s">
        <v>625</v>
      </c>
      <c r="AD30" s="73" t="s">
        <v>82</v>
      </c>
      <c r="AE30" s="82" t="s">
        <v>621</v>
      </c>
      <c r="AF30" s="82" t="s">
        <v>622</v>
      </c>
      <c r="AG30" s="82" t="s">
        <v>623</v>
      </c>
      <c r="AH30" s="82" t="s">
        <v>624</v>
      </c>
      <c r="AI30" s="82" t="s">
        <v>81</v>
      </c>
      <c r="AJ30" s="82" t="s">
        <v>625</v>
      </c>
      <c r="AK30" s="82" t="s">
        <v>82</v>
      </c>
      <c r="AL30" s="13"/>
    </row>
    <row r="31" spans="2:38" x14ac:dyDescent="0.2">
      <c r="B31" s="13"/>
      <c r="C31" s="13"/>
      <c r="D31" s="13"/>
      <c r="E31" s="13"/>
      <c r="F31" s="13"/>
      <c r="G31" s="13"/>
      <c r="H31" s="13"/>
      <c r="I31" s="13"/>
      <c r="J31" s="55"/>
      <c r="K31" s="55"/>
      <c r="L31" s="55"/>
      <c r="M31" s="55"/>
      <c r="N31" s="55"/>
      <c r="O31" s="55"/>
      <c r="P31" s="55"/>
      <c r="Q31" s="13"/>
      <c r="R31" s="13"/>
      <c r="S31" s="13"/>
      <c r="T31" s="13"/>
      <c r="U31" s="13"/>
      <c r="V31" s="13"/>
      <c r="W31" s="13"/>
      <c r="X31" s="55"/>
      <c r="Y31" s="55"/>
      <c r="Z31" s="55"/>
      <c r="AA31" s="55"/>
      <c r="AB31" s="55"/>
      <c r="AC31" s="55"/>
      <c r="AD31" s="55"/>
      <c r="AE31" s="13"/>
      <c r="AF31" s="13"/>
      <c r="AG31" s="13"/>
      <c r="AH31" s="13"/>
      <c r="AI31" s="13"/>
      <c r="AJ31" s="13"/>
      <c r="AK31" s="13"/>
      <c r="AL31" s="13"/>
    </row>
    <row r="32" spans="2:38" x14ac:dyDescent="0.2">
      <c r="B32" s="80" t="s">
        <v>704</v>
      </c>
      <c r="C32" s="91">
        <v>13.7</v>
      </c>
      <c r="D32" s="91">
        <f>E32-C32</f>
        <v>3.1999999999999993</v>
      </c>
      <c r="E32" s="91">
        <v>16.899999999999999</v>
      </c>
      <c r="F32" s="91">
        <f>G32-E32</f>
        <v>1.9000000000000021</v>
      </c>
      <c r="G32" s="91">
        <v>18.8</v>
      </c>
      <c r="H32" s="91">
        <f>I32-G32</f>
        <v>9.5999999999999979</v>
      </c>
      <c r="I32" s="91">
        <v>28.4</v>
      </c>
      <c r="J32" s="92">
        <v>13</v>
      </c>
      <c r="K32" s="92">
        <f>L32-J32</f>
        <v>3.1999999999999993</v>
      </c>
      <c r="L32" s="92">
        <v>16.2</v>
      </c>
      <c r="M32" s="92">
        <f>N32-L32</f>
        <v>1.9000000000000021</v>
      </c>
      <c r="N32" s="92">
        <v>18.100000000000001</v>
      </c>
      <c r="O32" s="92">
        <f>P32-N32</f>
        <v>10.099999999999998</v>
      </c>
      <c r="P32" s="92">
        <v>28.2</v>
      </c>
      <c r="Q32" s="91">
        <v>13.6</v>
      </c>
      <c r="R32" s="91">
        <f>S32-Q32</f>
        <v>3.2000000000000011</v>
      </c>
      <c r="S32" s="91">
        <v>16.8</v>
      </c>
      <c r="T32" s="91">
        <f>U32-S32</f>
        <v>1.8999999999999986</v>
      </c>
      <c r="U32" s="91">
        <v>18.7</v>
      </c>
      <c r="V32" s="91">
        <f>W32-U32</f>
        <v>10.5</v>
      </c>
      <c r="W32" s="91">
        <v>29.2</v>
      </c>
      <c r="X32" s="92">
        <v>14.6</v>
      </c>
      <c r="Y32" s="92">
        <f>Z32-X32</f>
        <v>3.0999999999999996</v>
      </c>
      <c r="Z32" s="92">
        <v>17.7</v>
      </c>
      <c r="AA32" s="92">
        <f>AB32-Z32</f>
        <v>1.9000000000000021</v>
      </c>
      <c r="AB32" s="92">
        <v>19.600000000000001</v>
      </c>
      <c r="AC32" s="92">
        <f>AD32-AB32</f>
        <v>9.1999999999999993</v>
      </c>
      <c r="AD32" s="92">
        <v>28.8</v>
      </c>
      <c r="AE32" s="91">
        <v>13.5</v>
      </c>
      <c r="AF32" s="91"/>
      <c r="AG32" s="91"/>
      <c r="AH32" s="91"/>
      <c r="AI32" s="91"/>
      <c r="AJ32" s="91"/>
      <c r="AK32" s="91"/>
      <c r="AL32" s="13"/>
    </row>
    <row r="33" spans="2:37" x14ac:dyDescent="0.2">
      <c r="B33" s="80" t="s">
        <v>703</v>
      </c>
      <c r="C33" s="91">
        <v>4.4000000000000004</v>
      </c>
      <c r="D33" s="91">
        <f t="shared" ref="D33:F35" si="12">E33-C33</f>
        <v>4</v>
      </c>
      <c r="E33" s="91">
        <v>8.4</v>
      </c>
      <c r="F33" s="91">
        <f t="shared" si="12"/>
        <v>3.5</v>
      </c>
      <c r="G33" s="91">
        <v>11.9</v>
      </c>
      <c r="H33" s="91">
        <f>I33-G33</f>
        <v>4.0999999999999996</v>
      </c>
      <c r="I33" s="91">
        <v>16</v>
      </c>
      <c r="J33" s="92">
        <v>4.4000000000000004</v>
      </c>
      <c r="K33" s="92">
        <f>L33-J33</f>
        <v>4.1999999999999993</v>
      </c>
      <c r="L33" s="92">
        <v>8.6</v>
      </c>
      <c r="M33" s="92">
        <f>N33-L33</f>
        <v>3.7000000000000011</v>
      </c>
      <c r="N33" s="92">
        <v>12.3</v>
      </c>
      <c r="O33" s="92">
        <f>P33-N33</f>
        <v>4.3999999999999986</v>
      </c>
      <c r="P33" s="92">
        <v>16.7</v>
      </c>
      <c r="Q33" s="91">
        <v>4.8</v>
      </c>
      <c r="R33" s="91">
        <f>S33-Q33</f>
        <v>4.3</v>
      </c>
      <c r="S33" s="91">
        <v>9.1</v>
      </c>
      <c r="T33" s="91">
        <f>U33-S33</f>
        <v>4.0999999999999996</v>
      </c>
      <c r="U33" s="91">
        <v>13.2</v>
      </c>
      <c r="V33" s="91">
        <f>W33-U33</f>
        <v>4.6999999999999993</v>
      </c>
      <c r="W33" s="91">
        <v>17.899999999999999</v>
      </c>
      <c r="X33" s="92">
        <v>4.9000000000000004</v>
      </c>
      <c r="Y33" s="92">
        <f>Z33-X33</f>
        <v>4.4000000000000004</v>
      </c>
      <c r="Z33" s="92">
        <v>9.3000000000000007</v>
      </c>
      <c r="AA33" s="92">
        <f>AB33-Z33</f>
        <v>4</v>
      </c>
      <c r="AB33" s="92">
        <v>13.3</v>
      </c>
      <c r="AC33" s="92">
        <f>AD33-AB33</f>
        <v>4.5</v>
      </c>
      <c r="AD33" s="92">
        <v>17.8</v>
      </c>
      <c r="AE33" s="91">
        <v>4.9000000000000004</v>
      </c>
      <c r="AF33" s="91"/>
      <c r="AG33" s="91"/>
      <c r="AH33" s="91"/>
      <c r="AI33" s="91"/>
      <c r="AJ33" s="91"/>
      <c r="AK33" s="91"/>
    </row>
    <row r="34" spans="2:37" x14ac:dyDescent="0.2">
      <c r="B34" s="80" t="s">
        <v>705</v>
      </c>
      <c r="C34" s="91">
        <v>5.0999999999999996</v>
      </c>
      <c r="D34" s="91">
        <f t="shared" si="12"/>
        <v>4.0999999999999996</v>
      </c>
      <c r="E34" s="91">
        <v>9.1999999999999993</v>
      </c>
      <c r="F34" s="91">
        <f t="shared" si="12"/>
        <v>6</v>
      </c>
      <c r="G34" s="91">
        <v>15.2</v>
      </c>
      <c r="H34" s="91">
        <f>I34-G34</f>
        <v>5.6000000000000014</v>
      </c>
      <c r="I34" s="91">
        <v>20.8</v>
      </c>
      <c r="J34" s="92">
        <v>5.7</v>
      </c>
      <c r="K34" s="92">
        <f>L34-J34</f>
        <v>4.4999999999999991</v>
      </c>
      <c r="L34" s="92">
        <v>10.199999999999999</v>
      </c>
      <c r="M34" s="92">
        <f>N34-L34</f>
        <v>6</v>
      </c>
      <c r="N34" s="92">
        <v>16.2</v>
      </c>
      <c r="O34" s="92">
        <f>P34-N34</f>
        <v>7.1999999999999993</v>
      </c>
      <c r="P34" s="92">
        <v>23.4</v>
      </c>
      <c r="Q34" s="91">
        <v>6.8</v>
      </c>
      <c r="R34" s="91">
        <f>S34-Q34</f>
        <v>5.5000000000000009</v>
      </c>
      <c r="S34" s="91">
        <v>12.3</v>
      </c>
      <c r="T34" s="91">
        <f>U34-S34</f>
        <v>6.0999999999999979</v>
      </c>
      <c r="U34" s="91">
        <v>18.399999999999999</v>
      </c>
      <c r="V34" s="91">
        <f>W34-U34</f>
        <v>7</v>
      </c>
      <c r="W34" s="91">
        <v>25.4</v>
      </c>
      <c r="X34" s="92">
        <v>6.1</v>
      </c>
      <c r="Y34" s="92">
        <f>Z34-X34</f>
        <v>4.5</v>
      </c>
      <c r="Z34" s="92">
        <v>10.6</v>
      </c>
      <c r="AA34" s="92">
        <f>AB34-Z34</f>
        <v>6.2999999999999989</v>
      </c>
      <c r="AB34" s="92">
        <v>16.899999999999999</v>
      </c>
      <c r="AC34" s="92">
        <f>AD34-AB34</f>
        <v>6.5</v>
      </c>
      <c r="AD34" s="92">
        <v>23.4</v>
      </c>
      <c r="AE34" s="91">
        <v>6.7</v>
      </c>
      <c r="AF34" s="91"/>
      <c r="AG34" s="91"/>
      <c r="AH34" s="91"/>
      <c r="AI34" s="91"/>
      <c r="AJ34" s="91"/>
      <c r="AK34" s="91"/>
    </row>
    <row r="35" spans="2:37" x14ac:dyDescent="0.2">
      <c r="B35" s="80" t="s">
        <v>706</v>
      </c>
      <c r="C35" s="91">
        <v>0.4</v>
      </c>
      <c r="D35" s="91">
        <f t="shared" si="12"/>
        <v>0.4</v>
      </c>
      <c r="E35" s="91">
        <v>0.8</v>
      </c>
      <c r="F35" s="91">
        <f t="shared" si="12"/>
        <v>0.59999999999999987</v>
      </c>
      <c r="G35" s="91">
        <v>1.4</v>
      </c>
      <c r="H35" s="91">
        <f>I35-G35</f>
        <v>0.40000000000000013</v>
      </c>
      <c r="I35" s="91">
        <v>1.8</v>
      </c>
      <c r="J35" s="92">
        <v>0.4</v>
      </c>
      <c r="K35" s="92">
        <f>L35-J35</f>
        <v>0.5</v>
      </c>
      <c r="L35" s="92">
        <v>0.9</v>
      </c>
      <c r="M35" s="92">
        <f>N35-L35</f>
        <v>0.49999999999999989</v>
      </c>
      <c r="N35" s="92">
        <v>1.4</v>
      </c>
      <c r="O35" s="92">
        <f>P35-N35</f>
        <v>0.70000000000000018</v>
      </c>
      <c r="P35" s="92">
        <v>2.1</v>
      </c>
      <c r="Q35" s="91">
        <v>0.4</v>
      </c>
      <c r="R35" s="91">
        <f>S35-Q35</f>
        <v>0.5</v>
      </c>
      <c r="S35" s="91">
        <v>0.9</v>
      </c>
      <c r="T35" s="91">
        <f>U35-S35</f>
        <v>0.6</v>
      </c>
      <c r="U35" s="91">
        <v>1.5</v>
      </c>
      <c r="V35" s="91">
        <f>W35-U35</f>
        <v>0.70000000000000018</v>
      </c>
      <c r="W35" s="91">
        <v>2.2000000000000002</v>
      </c>
      <c r="X35" s="92">
        <v>0.4</v>
      </c>
      <c r="Y35" s="92">
        <f>Z35-X35</f>
        <v>0.5</v>
      </c>
      <c r="Z35" s="92">
        <v>0.9</v>
      </c>
      <c r="AA35" s="92">
        <f>AB35-Z35</f>
        <v>0.6</v>
      </c>
      <c r="AB35" s="92">
        <v>1.5</v>
      </c>
      <c r="AC35" s="92">
        <f>AD35-AB35</f>
        <v>0.60000000000000009</v>
      </c>
      <c r="AD35" s="92">
        <v>2.1</v>
      </c>
      <c r="AE35" s="91">
        <v>0.4</v>
      </c>
      <c r="AF35" s="91"/>
      <c r="AG35" s="91"/>
      <c r="AH35" s="91"/>
      <c r="AI35" s="91"/>
      <c r="AJ35" s="91"/>
      <c r="AK35" s="91"/>
    </row>
    <row r="36" spans="2:37" ht="15" thickBot="1" x14ac:dyDescent="0.25">
      <c r="B36" s="87"/>
      <c r="C36" s="93"/>
      <c r="D36" s="93"/>
      <c r="E36" s="93"/>
      <c r="F36" s="93"/>
      <c r="G36" s="93"/>
      <c r="H36" s="93"/>
      <c r="I36" s="93"/>
      <c r="J36" s="94"/>
      <c r="K36" s="94"/>
      <c r="L36" s="94"/>
      <c r="M36" s="94"/>
      <c r="N36" s="94"/>
      <c r="O36" s="94"/>
      <c r="P36" s="94"/>
      <c r="Q36" s="93"/>
      <c r="R36" s="93"/>
      <c r="S36" s="93"/>
      <c r="T36" s="93"/>
      <c r="U36" s="93"/>
      <c r="V36" s="93"/>
      <c r="W36" s="93"/>
      <c r="X36" s="94"/>
      <c r="Y36" s="94"/>
      <c r="Z36" s="94"/>
      <c r="AA36" s="94"/>
      <c r="AB36" s="94"/>
      <c r="AC36" s="94"/>
      <c r="AD36" s="94"/>
      <c r="AE36" s="93"/>
      <c r="AF36" s="95"/>
      <c r="AG36" s="95"/>
      <c r="AH36" s="95"/>
      <c r="AI36" s="95"/>
      <c r="AJ36" s="95"/>
      <c r="AK36" s="95"/>
    </row>
    <row r="37" spans="2:37" ht="15" thickBot="1" x14ac:dyDescent="0.25">
      <c r="B37" s="81" t="s">
        <v>701</v>
      </c>
      <c r="C37" s="96">
        <f>SUM(C32:C35)</f>
        <v>23.6</v>
      </c>
      <c r="D37" s="96">
        <f t="shared" ref="D37:AE37" si="13">SUM(D32:D35)</f>
        <v>11.7</v>
      </c>
      <c r="E37" s="96">
        <f t="shared" si="13"/>
        <v>35.299999999999997</v>
      </c>
      <c r="F37" s="96">
        <f t="shared" si="13"/>
        <v>12.000000000000002</v>
      </c>
      <c r="G37" s="96">
        <f t="shared" si="13"/>
        <v>47.300000000000004</v>
      </c>
      <c r="H37" s="96">
        <f t="shared" si="13"/>
        <v>19.699999999999996</v>
      </c>
      <c r="I37" s="96">
        <f t="shared" si="13"/>
        <v>67</v>
      </c>
      <c r="J37" s="97">
        <f t="shared" si="13"/>
        <v>23.499999999999996</v>
      </c>
      <c r="K37" s="97">
        <f t="shared" si="13"/>
        <v>12.399999999999999</v>
      </c>
      <c r="L37" s="97">
        <f t="shared" si="13"/>
        <v>35.9</v>
      </c>
      <c r="M37" s="97">
        <f t="shared" si="13"/>
        <v>12.100000000000003</v>
      </c>
      <c r="N37" s="97">
        <f t="shared" si="13"/>
        <v>48</v>
      </c>
      <c r="O37" s="97">
        <f t="shared" si="13"/>
        <v>22.399999999999995</v>
      </c>
      <c r="P37" s="97">
        <f t="shared" si="13"/>
        <v>70.399999999999991</v>
      </c>
      <c r="Q37" s="96">
        <f t="shared" si="13"/>
        <v>25.599999999999998</v>
      </c>
      <c r="R37" s="96">
        <f t="shared" si="13"/>
        <v>13.500000000000002</v>
      </c>
      <c r="S37" s="96">
        <f t="shared" si="13"/>
        <v>39.1</v>
      </c>
      <c r="T37" s="96">
        <f t="shared" si="13"/>
        <v>12.699999999999996</v>
      </c>
      <c r="U37" s="96">
        <f t="shared" si="13"/>
        <v>51.8</v>
      </c>
      <c r="V37" s="96">
        <f t="shared" si="13"/>
        <v>22.9</v>
      </c>
      <c r="W37" s="96">
        <f t="shared" si="13"/>
        <v>74.7</v>
      </c>
      <c r="X37" s="97">
        <f t="shared" si="13"/>
        <v>26</v>
      </c>
      <c r="Y37" s="97">
        <f t="shared" si="13"/>
        <v>12.5</v>
      </c>
      <c r="Z37" s="97">
        <f t="shared" si="13"/>
        <v>38.5</v>
      </c>
      <c r="AA37" s="97">
        <f t="shared" si="13"/>
        <v>12.8</v>
      </c>
      <c r="AB37" s="97">
        <f t="shared" si="13"/>
        <v>51.300000000000004</v>
      </c>
      <c r="AC37" s="97">
        <f t="shared" si="13"/>
        <v>20.8</v>
      </c>
      <c r="AD37" s="97">
        <f t="shared" si="13"/>
        <v>72.099999999999994</v>
      </c>
      <c r="AE37" s="96">
        <f t="shared" si="13"/>
        <v>25.499999999999996</v>
      </c>
      <c r="AF37" s="96"/>
      <c r="AG37" s="96"/>
      <c r="AH37" s="96"/>
      <c r="AI37" s="96"/>
      <c r="AJ37" s="96"/>
      <c r="AK37" s="96"/>
    </row>
    <row r="39" spans="2:37" x14ac:dyDescent="0.2">
      <c r="B39" s="159" t="s">
        <v>919</v>
      </c>
    </row>
    <row r="40" spans="2:37" x14ac:dyDescent="0.2">
      <c r="B40" s="85"/>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26</vt:i4>
      </vt:variant>
      <vt:variant>
        <vt:lpstr>Intervalli denominati</vt:lpstr>
      </vt:variant>
      <vt:variant>
        <vt:i4>2</vt:i4>
      </vt:variant>
    </vt:vector>
  </HeadingPairs>
  <TitlesOfParts>
    <vt:vector size="28" baseType="lpstr">
      <vt:lpstr>Table of Contents</vt:lpstr>
      <vt:lpstr>Dashboard</vt:lpstr>
      <vt:lpstr>Plants Input</vt:lpstr>
      <vt:lpstr>Divisions Input</vt:lpstr>
      <vt:lpstr>Volumes Input</vt:lpstr>
      <vt:lpstr>Non Financial Input</vt:lpstr>
      <vt:lpstr>FS Input</vt:lpstr>
      <vt:lpstr>Prices</vt:lpstr>
      <vt:lpstr>Demand</vt:lpstr>
      <vt:lpstr>P&amp;L</vt:lpstr>
      <vt:lpstr>Costs</vt:lpstr>
      <vt:lpstr>Balance Sheet</vt:lpstr>
      <vt:lpstr>Cash Flow</vt:lpstr>
      <vt:lpstr>Results by Division</vt:lpstr>
      <vt:lpstr>Volumes</vt:lpstr>
      <vt:lpstr>Quarterly data</vt:lpstr>
      <vt:lpstr>Sep-P&amp;L</vt:lpstr>
      <vt:lpstr>Sep-BS</vt:lpstr>
      <vt:lpstr>Sep-Changes in Equity</vt:lpstr>
      <vt:lpstr>Plants-Summary</vt:lpstr>
      <vt:lpstr>Plants-Thermo</vt:lpstr>
      <vt:lpstr>Plants-Hydro </vt:lpstr>
      <vt:lpstr>Plants-RES</vt:lpstr>
      <vt:lpstr>Plants-E.Efficiency</vt:lpstr>
      <vt:lpstr>Environment</vt:lpstr>
      <vt:lpstr>Social</vt:lpstr>
      <vt:lpstr>'Plants-Summary'!Area_stampa</vt:lpstr>
      <vt:lpstr>'Plants-Thermo'!Area_stampa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Sanchez Ben Alejandro</dc:creator>
  <cp:lastModifiedBy>Minazzi Valeria</cp:lastModifiedBy>
  <cp:lastPrinted>2019-06-13T09:10:40Z</cp:lastPrinted>
  <dcterms:created xsi:type="dcterms:W3CDTF">2019-03-04T11:31:01Z</dcterms:created>
  <dcterms:modified xsi:type="dcterms:W3CDTF">2019-08-01T12:54:53Z</dcterms:modified>
</cp:coreProperties>
</file>