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610" tabRatio="766" activeTab="4"/>
  </bookViews>
  <sheets>
    <sheet name="P&amp;L BS CF" sheetId="1" r:id="rId1"/>
    <sheet name=" Results by division" sheetId="2" r:id="rId2"/>
    <sheet name="Volumes " sheetId="3" r:id="rId3"/>
    <sheet name="Costs" sheetId="4" r:id="rId4"/>
    <sheet name="Quarterly Data" sheetId="5" r:id="rId5"/>
    <sheet name="Thermoelectric plants" sheetId="6" r:id="rId6"/>
    <sheet name="Hydroelectric plants" sheetId="7" r:id="rId7"/>
    <sheet name="Other renewable plants" sheetId="8" r:id="rId8"/>
    <sheet name="Energy efficiency in Italy" sheetId="9" r:id="rId9"/>
    <sheet name="Plants summary" sheetId="10" r:id="rId10"/>
  </sheets>
  <definedNames>
    <definedName name="_xlnm.Print_Area" localSheetId="1">' Results by division'!$B$1:$L$60</definedName>
    <definedName name="_xlnm.Print_Area" localSheetId="3">'Costs'!$B$2:$L$37</definedName>
    <definedName name="_xlnm.Print_Area" localSheetId="0">'P&amp;L BS CF'!$A$1:$AC$102</definedName>
    <definedName name="_xlnm.Print_Area" localSheetId="4">'Quarterly Data'!$A$1:$AY$136</definedName>
    <definedName name="_xlnm.Print_Area" localSheetId="2">'Volumes '!$B$2:$M$69</definedName>
    <definedName name="_xlnm.Print_Titles" localSheetId="4">'Quarterly Data'!$B:$B</definedName>
  </definedNames>
  <calcPr fullCalcOnLoad="1"/>
</workbook>
</file>

<file path=xl/comments6.xml><?xml version="1.0" encoding="utf-8"?>
<comments xmlns="http://schemas.openxmlformats.org/spreadsheetml/2006/main">
  <authors>
    <author>Minazzi Valeria</author>
  </authors>
  <commentList>
    <comment ref="D21" authorId="0">
      <text>
        <r>
          <rPr>
            <b/>
            <sz val="8"/>
            <color indexed="8"/>
            <rFont val="Tahoma"/>
            <family val="2"/>
          </rPr>
          <t>Minazzi Valeria:</t>
        </r>
        <r>
          <rPr>
            <sz val="8"/>
            <color indexed="8"/>
            <rFont val="Tahoma"/>
            <family val="2"/>
          </rPr>
          <t xml:space="preserve">
February 2006</t>
        </r>
      </text>
    </comment>
    <comment ref="D22" authorId="0">
      <text>
        <r>
          <rPr>
            <b/>
            <sz val="8"/>
            <color indexed="8"/>
            <rFont val="Tahoma"/>
            <family val="2"/>
          </rPr>
          <t>Minazzi Valeria:</t>
        </r>
        <r>
          <rPr>
            <sz val="8"/>
            <color indexed="8"/>
            <rFont val="Tahoma"/>
            <family val="2"/>
          </rPr>
          <t xml:space="preserve">
June 2006</t>
        </r>
      </text>
    </comment>
  </commentList>
</comments>
</file>

<file path=xl/comments7.xml><?xml version="1.0" encoding="utf-8"?>
<comments xmlns="http://schemas.openxmlformats.org/spreadsheetml/2006/main">
  <authors>
    <author>user</author>
    <author>Musolino Paolo</author>
  </authors>
  <commentList>
    <comment ref="F28" authorId="0">
      <text>
        <r>
          <rPr>
            <b/>
            <sz val="10"/>
            <color indexed="8"/>
            <rFont val="Tahoma"/>
            <family val="2"/>
          </rPr>
          <t>user:</t>
        </r>
        <r>
          <rPr>
            <sz val="10"/>
            <color indexed="8"/>
            <rFont val="Tahoma"/>
            <family val="2"/>
          </rPr>
          <t xml:space="preserve">
CIP6 fino a 2004</t>
        </r>
      </text>
    </comment>
    <comment ref="F29" authorId="0">
      <text>
        <r>
          <rPr>
            <b/>
            <sz val="10"/>
            <color indexed="8"/>
            <rFont val="Tahoma"/>
            <family val="2"/>
          </rPr>
          <t>user:</t>
        </r>
        <r>
          <rPr>
            <sz val="10"/>
            <color indexed="8"/>
            <rFont val="Tahoma"/>
            <family val="2"/>
          </rPr>
          <t xml:space="preserve">
cip6 fino a 2004</t>
        </r>
      </text>
    </comment>
    <comment ref="F33" authorId="0">
      <text>
        <r>
          <rPr>
            <b/>
            <sz val="10"/>
            <color indexed="8"/>
            <rFont val="Tahoma"/>
            <family val="2"/>
          </rPr>
          <t>user:</t>
        </r>
        <r>
          <rPr>
            <sz val="10"/>
            <color indexed="8"/>
            <rFont val="Tahoma"/>
            <family val="2"/>
          </rPr>
          <t xml:space="preserve">
CIP6 fino a 2007</t>
        </r>
      </text>
    </comment>
    <comment ref="F52" authorId="1">
      <text>
        <r>
          <rPr>
            <b/>
            <sz val="9"/>
            <color indexed="8"/>
            <rFont val="Tahoma"/>
            <family val="2"/>
          </rPr>
          <t xml:space="preserve">Ritiro dedicato
</t>
        </r>
        <r>
          <rPr>
            <sz val="9"/>
            <color indexed="8"/>
            <rFont val="Tahoma"/>
            <family val="2"/>
          </rPr>
          <t xml:space="preserve">
</t>
        </r>
      </text>
    </comment>
    <comment ref="F55" authorId="1">
      <text>
        <r>
          <rPr>
            <b/>
            <sz val="9"/>
            <color indexed="8"/>
            <rFont val="Tahoma"/>
            <family val="2"/>
          </rPr>
          <t xml:space="preserve">Ritiro dedicato
</t>
        </r>
        <r>
          <rPr>
            <sz val="9"/>
            <color indexed="8"/>
            <rFont val="Tahoma"/>
            <family val="2"/>
          </rPr>
          <t xml:space="preserve">
</t>
        </r>
      </text>
    </comment>
    <comment ref="F62" authorId="1">
      <text>
        <r>
          <rPr>
            <b/>
            <sz val="9"/>
            <color indexed="8"/>
            <rFont val="Tahoma"/>
            <family val="2"/>
          </rPr>
          <t xml:space="preserve">Ritiro dedicato
</t>
        </r>
        <r>
          <rPr>
            <sz val="9"/>
            <color indexed="8"/>
            <rFont val="Tahoma"/>
            <family val="2"/>
          </rPr>
          <t xml:space="preserve">
</t>
        </r>
      </text>
    </comment>
    <comment ref="F63" authorId="1">
      <text>
        <r>
          <rPr>
            <b/>
            <sz val="9"/>
            <color indexed="8"/>
            <rFont val="Tahoma"/>
            <family val="2"/>
          </rPr>
          <t>Incentivo da GSE</t>
        </r>
        <r>
          <rPr>
            <sz val="9"/>
            <color indexed="8"/>
            <rFont val="Tahoma"/>
            <family val="2"/>
          </rPr>
          <t xml:space="preserve">
</t>
        </r>
      </text>
    </comment>
    <comment ref="F64" authorId="1">
      <text>
        <r>
          <rPr>
            <b/>
            <sz val="9"/>
            <color indexed="8"/>
            <rFont val="Tahoma"/>
            <family val="2"/>
          </rPr>
          <t>Incentivo da GSE</t>
        </r>
        <r>
          <rPr>
            <sz val="9"/>
            <color indexed="8"/>
            <rFont val="Tahoma"/>
            <family val="2"/>
          </rPr>
          <t xml:space="preserve">
</t>
        </r>
      </text>
    </comment>
    <comment ref="F65" authorId="1">
      <text>
        <r>
          <rPr>
            <b/>
            <sz val="9"/>
            <color indexed="8"/>
            <rFont val="Tahoma"/>
            <family val="2"/>
          </rPr>
          <t xml:space="preserve">Ritiro dedicato
</t>
        </r>
        <r>
          <rPr>
            <sz val="9"/>
            <color indexed="8"/>
            <rFont val="Tahoma"/>
            <family val="2"/>
          </rPr>
          <t xml:space="preserve">
</t>
        </r>
      </text>
    </comment>
    <comment ref="F66" authorId="1">
      <text>
        <r>
          <rPr>
            <b/>
            <sz val="9"/>
            <color indexed="8"/>
            <rFont val="Tahoma"/>
            <family val="2"/>
          </rPr>
          <t xml:space="preserve">Ritiro dedicato
</t>
        </r>
        <r>
          <rPr>
            <sz val="9"/>
            <color indexed="8"/>
            <rFont val="Tahoma"/>
            <family val="2"/>
          </rPr>
          <t xml:space="preserve">
</t>
        </r>
      </text>
    </comment>
    <comment ref="F68" authorId="1">
      <text>
        <r>
          <rPr>
            <b/>
            <sz val="9"/>
            <color indexed="8"/>
            <rFont val="Tahoma"/>
            <family val="2"/>
          </rPr>
          <t xml:space="preserve">Ritiro dedicato
</t>
        </r>
        <r>
          <rPr>
            <sz val="9"/>
            <color indexed="8"/>
            <rFont val="Tahoma"/>
            <family val="2"/>
          </rPr>
          <t xml:space="preserve">
</t>
        </r>
      </text>
    </comment>
    <comment ref="F69" authorId="1">
      <text>
        <r>
          <rPr>
            <b/>
            <sz val="9"/>
            <color indexed="8"/>
            <rFont val="Tahoma"/>
            <family val="2"/>
          </rPr>
          <t xml:space="preserve">Ritiro dedicato
</t>
        </r>
        <r>
          <rPr>
            <sz val="9"/>
            <color indexed="8"/>
            <rFont val="Tahoma"/>
            <family val="2"/>
          </rPr>
          <t xml:space="preserve">
</t>
        </r>
      </text>
    </comment>
    <comment ref="F70" authorId="1">
      <text>
        <r>
          <rPr>
            <b/>
            <sz val="9"/>
            <color indexed="8"/>
            <rFont val="Tahoma"/>
            <family val="2"/>
          </rPr>
          <t xml:space="preserve">Ritiro dedicato
</t>
        </r>
        <r>
          <rPr>
            <sz val="9"/>
            <color indexed="8"/>
            <rFont val="Tahoma"/>
            <family val="2"/>
          </rPr>
          <t xml:space="preserve">
</t>
        </r>
      </text>
    </comment>
    <comment ref="F71" authorId="1">
      <text>
        <r>
          <rPr>
            <b/>
            <sz val="9"/>
            <color indexed="8"/>
            <rFont val="Tahoma"/>
            <family val="2"/>
          </rPr>
          <t xml:space="preserve">Ritiro dedicato
</t>
        </r>
        <r>
          <rPr>
            <sz val="9"/>
            <color indexed="8"/>
            <rFont val="Tahoma"/>
            <family val="2"/>
          </rPr>
          <t xml:space="preserve">
</t>
        </r>
      </text>
    </comment>
    <comment ref="F72" authorId="1">
      <text>
        <r>
          <rPr>
            <b/>
            <sz val="9"/>
            <color indexed="8"/>
            <rFont val="Tahoma"/>
            <family val="2"/>
          </rPr>
          <t xml:space="preserve">Ritiro dedicato
</t>
        </r>
        <r>
          <rPr>
            <sz val="9"/>
            <color indexed="8"/>
            <rFont val="Tahoma"/>
            <family val="2"/>
          </rPr>
          <t xml:space="preserve">
</t>
        </r>
      </text>
    </comment>
    <comment ref="F73" authorId="1">
      <text>
        <r>
          <rPr>
            <b/>
            <sz val="9"/>
            <color indexed="8"/>
            <rFont val="Tahoma"/>
            <family val="2"/>
          </rPr>
          <t xml:space="preserve">Ritiro dedicato
</t>
        </r>
        <r>
          <rPr>
            <sz val="9"/>
            <color indexed="8"/>
            <rFont val="Tahoma"/>
            <family val="2"/>
          </rPr>
          <t xml:space="preserve">
</t>
        </r>
      </text>
    </comment>
    <comment ref="F74" authorId="1">
      <text>
        <r>
          <rPr>
            <b/>
            <sz val="9"/>
            <color indexed="8"/>
            <rFont val="Tahoma"/>
            <family val="2"/>
          </rPr>
          <t xml:space="preserve">Ritiro dedicato
</t>
        </r>
        <r>
          <rPr>
            <sz val="9"/>
            <color indexed="8"/>
            <rFont val="Tahoma"/>
            <family val="2"/>
          </rPr>
          <t xml:space="preserve">
</t>
        </r>
      </text>
    </comment>
    <comment ref="F75" authorId="1">
      <text>
        <r>
          <rPr>
            <b/>
            <sz val="9"/>
            <color indexed="8"/>
            <rFont val="Tahoma"/>
            <family val="2"/>
          </rPr>
          <t xml:space="preserve">Ritiro dedicato
</t>
        </r>
        <r>
          <rPr>
            <sz val="9"/>
            <color indexed="8"/>
            <rFont val="Tahoma"/>
            <family val="2"/>
          </rPr>
          <t xml:space="preserve">
</t>
        </r>
      </text>
    </comment>
    <comment ref="F76" authorId="1">
      <text>
        <r>
          <rPr>
            <b/>
            <sz val="9"/>
            <color indexed="8"/>
            <rFont val="Tahoma"/>
            <family val="2"/>
          </rPr>
          <t>Incentivo da GSE</t>
        </r>
        <r>
          <rPr>
            <sz val="9"/>
            <color indexed="8"/>
            <rFont val="Tahoma"/>
            <family val="2"/>
          </rPr>
          <t xml:space="preserve">
</t>
        </r>
      </text>
    </comment>
    <comment ref="F77" authorId="1">
      <text>
        <r>
          <rPr>
            <b/>
            <sz val="9"/>
            <color indexed="8"/>
            <rFont val="Tahoma"/>
            <family val="2"/>
          </rPr>
          <t xml:space="preserve">Ritiro dedicato
</t>
        </r>
        <r>
          <rPr>
            <sz val="9"/>
            <color indexed="8"/>
            <rFont val="Tahoma"/>
            <family val="2"/>
          </rPr>
          <t xml:space="preserve">
</t>
        </r>
      </text>
    </comment>
    <comment ref="F78" authorId="1">
      <text>
        <r>
          <rPr>
            <b/>
            <sz val="9"/>
            <color indexed="8"/>
            <rFont val="Tahoma"/>
            <family val="2"/>
          </rPr>
          <t xml:space="preserve">Ritiro dedicato
</t>
        </r>
        <r>
          <rPr>
            <sz val="9"/>
            <color indexed="8"/>
            <rFont val="Tahoma"/>
            <family val="2"/>
          </rPr>
          <t xml:space="preserve">
</t>
        </r>
      </text>
    </comment>
  </commentList>
</comments>
</file>

<file path=xl/comments8.xml><?xml version="1.0" encoding="utf-8"?>
<comments xmlns="http://schemas.openxmlformats.org/spreadsheetml/2006/main">
  <authors>
    <author>Minazzi Valeria</author>
  </authors>
  <commentList>
    <comment ref="F35" authorId="0">
      <text>
        <r>
          <rPr>
            <b/>
            <sz val="9"/>
            <color indexed="8"/>
            <rFont val="Tahoma"/>
            <family val="2"/>
          </rPr>
          <t>Minazzi Valeria:</t>
        </r>
        <r>
          <rPr>
            <sz val="9"/>
            <color indexed="8"/>
            <rFont val="Tahoma"/>
            <family val="2"/>
          </rPr>
          <t xml:space="preserve">
vedi certificazione EMAS</t>
        </r>
      </text>
    </comment>
    <comment ref="D36" authorId="0">
      <text>
        <r>
          <rPr>
            <b/>
            <sz val="9"/>
            <color indexed="8"/>
            <rFont val="Tahoma"/>
            <family val="2"/>
          </rPr>
          <t>Minazzi Valeria:</t>
        </r>
        <r>
          <rPr>
            <sz val="9"/>
            <color indexed="8"/>
            <rFont val="Tahoma"/>
            <family val="2"/>
          </rPr>
          <t xml:space="preserve">
data ricostruzione, parco originrio 1999
</t>
        </r>
      </text>
    </comment>
  </commentList>
</comments>
</file>

<file path=xl/sharedStrings.xml><?xml version="1.0" encoding="utf-8"?>
<sst xmlns="http://schemas.openxmlformats.org/spreadsheetml/2006/main" count="1607" uniqueCount="592">
  <si>
    <t>balance</t>
  </si>
  <si>
    <t>EBITDA</t>
  </si>
  <si>
    <t>Candela</t>
  </si>
  <si>
    <t>Porto Viro</t>
  </si>
  <si>
    <t>Plant name</t>
  </si>
  <si>
    <t>Start up</t>
  </si>
  <si>
    <t>Marghera Azotati</t>
  </si>
  <si>
    <t>Sesto san Giovanni</t>
  </si>
  <si>
    <t>Bussi sul Tirino</t>
  </si>
  <si>
    <t>San Quirico</t>
  </si>
  <si>
    <t>Cologno Monzese</t>
  </si>
  <si>
    <t>Jesi</t>
  </si>
  <si>
    <t>Battiggio</t>
  </si>
  <si>
    <t>Pieve Vergonte</t>
  </si>
  <si>
    <t>Pentima</t>
  </si>
  <si>
    <t>Celle San Vito 1</t>
  </si>
  <si>
    <t>Castelnuovo di Conza (Cresta della Cesina)</t>
  </si>
  <si>
    <t>Foiano - Piano del Casino</t>
  </si>
  <si>
    <t>Celle San Vito 2</t>
  </si>
  <si>
    <t>CASH FLOW</t>
  </si>
  <si>
    <t>Market</t>
  </si>
  <si>
    <t>Type</t>
  </si>
  <si>
    <t>Basin</t>
  </si>
  <si>
    <t>Run of river</t>
  </si>
  <si>
    <t>Caffaro 1</t>
  </si>
  <si>
    <t>free market</t>
  </si>
  <si>
    <t>Reservoir</t>
  </si>
  <si>
    <t>Venina</t>
  </si>
  <si>
    <t>Sonico</t>
  </si>
  <si>
    <t>Mezzocorona</t>
  </si>
  <si>
    <t>Armisa</t>
  </si>
  <si>
    <t>Zappello</t>
  </si>
  <si>
    <t>Vedello</t>
  </si>
  <si>
    <t>Teglia</t>
  </si>
  <si>
    <t>Campo</t>
  </si>
  <si>
    <t>Cividate</t>
  </si>
  <si>
    <t>Rocchetta</t>
  </si>
  <si>
    <t>Belviso</t>
  </si>
  <si>
    <t>Publino</t>
  </si>
  <si>
    <t>Ganda</t>
  </si>
  <si>
    <t>Caffaro 2</t>
  </si>
  <si>
    <t>Albano</t>
  </si>
  <si>
    <t>Total free market (MW)</t>
  </si>
  <si>
    <t>check</t>
  </si>
  <si>
    <t>Location</t>
  </si>
  <si>
    <t>Company</t>
  </si>
  <si>
    <t>Fuel</t>
  </si>
  <si>
    <t>Technology</t>
  </si>
  <si>
    <t>VE</t>
  </si>
  <si>
    <t>Edison Spa</t>
  </si>
  <si>
    <t>gas</t>
  </si>
  <si>
    <t>CCGT</t>
  </si>
  <si>
    <t>RO</t>
  </si>
  <si>
    <t>MI</t>
  </si>
  <si>
    <t>PE</t>
  </si>
  <si>
    <t>PR</t>
  </si>
  <si>
    <t>TR</t>
  </si>
  <si>
    <t>Termica Cologno Srl</t>
  </si>
  <si>
    <t>MS</t>
  </si>
  <si>
    <t>AN</t>
  </si>
  <si>
    <t>Jesi Energia Spa</t>
  </si>
  <si>
    <t>Sarmato</t>
  </si>
  <si>
    <t>PC</t>
  </si>
  <si>
    <t>Terni</t>
  </si>
  <si>
    <t>CN</t>
  </si>
  <si>
    <t>FG</t>
  </si>
  <si>
    <t>P.E. Castelnuovo Srl</t>
  </si>
  <si>
    <t>Castiglione Messer Marino</t>
  </si>
  <si>
    <t>Castelnuovo di Conza</t>
  </si>
  <si>
    <t>Volturino</t>
  </si>
  <si>
    <t>Sales revenues Electric Power operations</t>
  </si>
  <si>
    <t>Sales revenues Hydrocarbons operations</t>
  </si>
  <si>
    <t>Corporate activities</t>
  </si>
  <si>
    <t>Eliminations</t>
  </si>
  <si>
    <t>Total sales revenues</t>
  </si>
  <si>
    <t>Other revenues and income</t>
  </si>
  <si>
    <t>Total net revenues</t>
  </si>
  <si>
    <t>Raw materials and services used</t>
  </si>
  <si>
    <t>Labor cost</t>
  </si>
  <si>
    <t>EBITDA Corporate activities</t>
  </si>
  <si>
    <t>Depreciation, amortisation and writedowns</t>
  </si>
  <si>
    <t>Employees</t>
  </si>
  <si>
    <t>Net financial income / expense</t>
  </si>
  <si>
    <t>Income from / expense on equity investments</t>
  </si>
  <si>
    <t>Income taxes</t>
  </si>
  <si>
    <t xml:space="preserve">Profit / Loss </t>
  </si>
  <si>
    <t xml:space="preserve">of which: </t>
  </si>
  <si>
    <t>Group interest in profit / loss</t>
  </si>
  <si>
    <t>BALANCE SHEET AT DECEMBER 31ST</t>
  </si>
  <si>
    <t>Property, plant and equipment</t>
  </si>
  <si>
    <t>Operating working capital</t>
  </si>
  <si>
    <t>Reserve for employee severance indemnities</t>
  </si>
  <si>
    <t>Net invested capital</t>
  </si>
  <si>
    <t>Group interest in stockholders' equity</t>
  </si>
  <si>
    <t>Stockholders' equity</t>
  </si>
  <si>
    <t>Net borrowings</t>
  </si>
  <si>
    <t>Dividends received</t>
  </si>
  <si>
    <t>Other revenues</t>
  </si>
  <si>
    <t>Total assets</t>
  </si>
  <si>
    <t>Capital expenditures</t>
  </si>
  <si>
    <t>Investments in intangibles</t>
  </si>
  <si>
    <t>Total capital investments</t>
  </si>
  <si>
    <t xml:space="preserve">Sales revenues </t>
  </si>
  <si>
    <t>Electric power</t>
  </si>
  <si>
    <t>Green certificates</t>
  </si>
  <si>
    <t>Other materials, utilities and demineralised industrial water</t>
  </si>
  <si>
    <t>SOURCES (GWh)</t>
  </si>
  <si>
    <t>USES (GWh)</t>
  </si>
  <si>
    <t>Net production Edison</t>
  </si>
  <si>
    <t>Production in Italy</t>
  </si>
  <si>
    <t>Residential use</t>
  </si>
  <si>
    <t>Industrial use</t>
  </si>
  <si>
    <t>Thermoelectric fuel use</t>
  </si>
  <si>
    <t>Other sales</t>
  </si>
  <si>
    <t>RAW MATERIALS AND SERVICES USED</t>
  </si>
  <si>
    <t>Sundry charges</t>
  </si>
  <si>
    <t>Total raw materials and services used</t>
  </si>
  <si>
    <t>Coal</t>
  </si>
  <si>
    <t>Thermoelectric</t>
  </si>
  <si>
    <t>Hydroelectric</t>
  </si>
  <si>
    <t>Other assets, liabilities and reserves for risks and charges</t>
  </si>
  <si>
    <t>Minority interests in stockholders' equity</t>
  </si>
  <si>
    <t xml:space="preserve">EDISON CONSOLIDATED RESULTS IAS/ IFRs COMPLIANT </t>
  </si>
  <si>
    <t>Electric Power</t>
  </si>
  <si>
    <t>Hydrocarbons</t>
  </si>
  <si>
    <t>Corporate</t>
  </si>
  <si>
    <t>Adjustments</t>
  </si>
  <si>
    <t>Raw Materials and Services</t>
  </si>
  <si>
    <t>Total EBIT</t>
  </si>
  <si>
    <t>Net Financial Income (Expense)</t>
  </si>
  <si>
    <t>Income from (expense on) equity investments</t>
  </si>
  <si>
    <t>Other Net Income (Expense)</t>
  </si>
  <si>
    <t>Profit Before Taxes</t>
  </si>
  <si>
    <t>Income Taxes</t>
  </si>
  <si>
    <t xml:space="preserve">Minority' s Interest in net (Income) loss </t>
  </si>
  <si>
    <t>Group Interest in Net income</t>
  </si>
  <si>
    <t>Net Invested Capital</t>
  </si>
  <si>
    <t>Stockholders' Equity</t>
  </si>
  <si>
    <t xml:space="preserve">     of which Group's Interest</t>
  </si>
  <si>
    <t>Net Borrowings</t>
  </si>
  <si>
    <t>Capital Expenditures</t>
  </si>
  <si>
    <t>Sources</t>
  </si>
  <si>
    <t>Other purchases and swaps</t>
  </si>
  <si>
    <t>Uses</t>
  </si>
  <si>
    <t>Total Uses</t>
  </si>
  <si>
    <t>Other Sales</t>
  </si>
  <si>
    <t>Debt /Equity</t>
  </si>
  <si>
    <t>CS</t>
  </si>
  <si>
    <t>UD</t>
  </si>
  <si>
    <t>Profit (loss) from discontinued operations</t>
  </si>
  <si>
    <t xml:space="preserve">Emission Rights </t>
  </si>
  <si>
    <t>Paderno - Bertini</t>
  </si>
  <si>
    <t>Robbiate - Esterle</t>
  </si>
  <si>
    <t>Meduno</t>
  </si>
  <si>
    <t>Total Sales Revenues</t>
  </si>
  <si>
    <t xml:space="preserve">Total Net Revenues </t>
  </si>
  <si>
    <t>Profit (loss) from discontinued operation</t>
  </si>
  <si>
    <t>Other income / expense</t>
  </si>
  <si>
    <t>Profit before taxes</t>
  </si>
  <si>
    <t xml:space="preserve">Profit / Loss from continuing operations </t>
  </si>
  <si>
    <t xml:space="preserve">Net Result </t>
  </si>
  <si>
    <t>Net Result from Continuing Operations</t>
  </si>
  <si>
    <t xml:space="preserve">Capital Expenditures </t>
  </si>
  <si>
    <t xml:space="preserve">Sales Revenues </t>
  </si>
  <si>
    <t>Simeri Crichi</t>
  </si>
  <si>
    <t>CZ</t>
  </si>
  <si>
    <t>Cedegolo</t>
  </si>
  <si>
    <t>Istrago</t>
  </si>
  <si>
    <t>Fontanamora</t>
  </si>
  <si>
    <t>Gaver</t>
  </si>
  <si>
    <t>Valina</t>
  </si>
  <si>
    <t>Chievolis</t>
  </si>
  <si>
    <t>Colle</t>
  </si>
  <si>
    <t>Pozzolago - Lona Lases</t>
  </si>
  <si>
    <t xml:space="preserve">Capital Expenditures and Exploration </t>
  </si>
  <si>
    <t>Transmission of electric power and gas</t>
  </si>
  <si>
    <t>Mollaro</t>
  </si>
  <si>
    <t>Lucito</t>
  </si>
  <si>
    <t>Altomonte</t>
  </si>
  <si>
    <t>Labour Costs</t>
  </si>
  <si>
    <t>Minority interest in (profit) / loss</t>
  </si>
  <si>
    <t>Total Oil Production</t>
  </si>
  <si>
    <t>OIL PRODUCTION (kbbl)</t>
  </si>
  <si>
    <t>Biomass</t>
  </si>
  <si>
    <t>Wind and other renewables</t>
  </si>
  <si>
    <t xml:space="preserve">Marghera Levante </t>
  </si>
  <si>
    <t>captive</t>
  </si>
  <si>
    <t>1992 e 2001 (repowering TV)</t>
  </si>
  <si>
    <t>Sesto San giovanni</t>
  </si>
  <si>
    <t>Torviscosa</t>
  </si>
  <si>
    <t>Elpedison</t>
  </si>
  <si>
    <t>TN</t>
  </si>
  <si>
    <t>Dolomiti Edison Energy Srl</t>
  </si>
  <si>
    <t>BS</t>
  </si>
  <si>
    <t>SO</t>
  </si>
  <si>
    <t>CO</t>
  </si>
  <si>
    <t>Calusco - Semenza</t>
  </si>
  <si>
    <t>BG</t>
  </si>
  <si>
    <t>VB</t>
  </si>
  <si>
    <t>Run of river - mini hydro</t>
  </si>
  <si>
    <t>Piozzo - Farigliano</t>
  </si>
  <si>
    <t>Basin - mini hydro</t>
  </si>
  <si>
    <t>PN</t>
  </si>
  <si>
    <t>Sistemi di Energia Spa</t>
  </si>
  <si>
    <t>Switzerland</t>
  </si>
  <si>
    <t>Kraftwerke</t>
  </si>
  <si>
    <t>Ripabottoni</t>
  </si>
  <si>
    <t>Sella di Conza</t>
  </si>
  <si>
    <t>Photovoltaic Altomonte</t>
  </si>
  <si>
    <t>P &amp; L</t>
  </si>
  <si>
    <t>GAS SOURCES (mln cm)</t>
  </si>
  <si>
    <t>GAS USES (mln cm)</t>
  </si>
  <si>
    <t>ELECTRIC POWER OPERATIONS</t>
  </si>
  <si>
    <t>HYDROCARBONS OPERATIONS</t>
  </si>
  <si>
    <t>VOLUMES</t>
  </si>
  <si>
    <t xml:space="preserve"> ELECTRIC POWER</t>
  </si>
  <si>
    <t>HYDROCARBONS</t>
  </si>
  <si>
    <t>COSTS</t>
  </si>
  <si>
    <r>
      <t xml:space="preserve">P&amp;L </t>
    </r>
    <r>
      <rPr>
        <u val="single"/>
        <sz val="10"/>
        <rFont val="Arial"/>
        <family val="2"/>
      </rPr>
      <t>(€ mln)</t>
    </r>
  </si>
  <si>
    <r>
      <t xml:space="preserve">BALANCE SHEET </t>
    </r>
    <r>
      <rPr>
        <u val="single"/>
        <sz val="10"/>
        <rFont val="Arial"/>
        <family val="2"/>
      </rPr>
      <t>(€ mln)</t>
    </r>
  </si>
  <si>
    <r>
      <t>ELECTRIC POWER OPERATIONS</t>
    </r>
    <r>
      <rPr>
        <u val="single"/>
        <sz val="10"/>
        <rFont val="Arial"/>
        <family val="2"/>
      </rPr>
      <t xml:space="preserve"> (€ mln)</t>
    </r>
  </si>
  <si>
    <r>
      <t xml:space="preserve">HYDROCARBONS OPERATIONS </t>
    </r>
    <r>
      <rPr>
        <u val="single"/>
        <sz val="10"/>
        <rFont val="Arial"/>
        <family val="2"/>
      </rPr>
      <t>(€ mln)</t>
    </r>
  </si>
  <si>
    <r>
      <t>ELECTRIC POWER VOLUMES</t>
    </r>
    <r>
      <rPr>
        <u val="single"/>
        <sz val="10"/>
        <rFont val="Arial"/>
        <family val="2"/>
      </rPr>
      <t xml:space="preserve"> (GWh)</t>
    </r>
  </si>
  <si>
    <r>
      <t xml:space="preserve">HYDROCARBONS VOLUMES </t>
    </r>
    <r>
      <rPr>
        <u val="single"/>
        <sz val="10"/>
        <rFont val="Arial"/>
        <family val="2"/>
      </rPr>
      <t>(bcm)</t>
    </r>
  </si>
  <si>
    <t>Mistretta</t>
  </si>
  <si>
    <t>Thisvi</t>
  </si>
  <si>
    <t>Greece</t>
  </si>
  <si>
    <t>Regassification fee</t>
  </si>
  <si>
    <t>LO</t>
  </si>
  <si>
    <t>P1: proved reserves</t>
  </si>
  <si>
    <t>P2: probable reserves</t>
  </si>
  <si>
    <t>Import Pipe + GNL</t>
  </si>
  <si>
    <t>IQ 2013</t>
  </si>
  <si>
    <t>IIQ 2013</t>
  </si>
  <si>
    <t>IH 2013</t>
  </si>
  <si>
    <t>III Q 2013</t>
  </si>
  <si>
    <t>9M 2013</t>
  </si>
  <si>
    <t>IV Q 2013</t>
  </si>
  <si>
    <t>FY 2013</t>
  </si>
  <si>
    <t>Total captive (MW)</t>
  </si>
  <si>
    <t>Photovoltaic Piedimonte</t>
  </si>
  <si>
    <t>Photovoltaic Oviglio</t>
  </si>
  <si>
    <t>Photovoltaic Cascine Bianche</t>
  </si>
  <si>
    <t>Photovoltaic Termoli</t>
  </si>
  <si>
    <t>Photovoltaic Mediglia</t>
  </si>
  <si>
    <t>Photovoltaic Latina</t>
  </si>
  <si>
    <t>Photovoltaic Monza</t>
  </si>
  <si>
    <t>IQ 2014</t>
  </si>
  <si>
    <t>IIQ 2014</t>
  </si>
  <si>
    <t>IH 2014</t>
  </si>
  <si>
    <t>III Q 2014</t>
  </si>
  <si>
    <t>9M 2014</t>
  </si>
  <si>
    <t>IV Q 2014</t>
  </si>
  <si>
    <t>FY 2014</t>
  </si>
  <si>
    <t>Restated</t>
  </si>
  <si>
    <t>Cancellation of non monetary items included in EBITDA</t>
  </si>
  <si>
    <t>Change in non operating working capital</t>
  </si>
  <si>
    <t>Other items</t>
  </si>
  <si>
    <t>T-Power (Tessaloniki)</t>
  </si>
  <si>
    <t>Ibiritermo</t>
  </si>
  <si>
    <t>Brazil</t>
  </si>
  <si>
    <t>E2I Energie Speciali Srl</t>
  </si>
  <si>
    <t>Andretta - Bisaccia</t>
  </si>
  <si>
    <t>Baselice</t>
  </si>
  <si>
    <t>Total wind deconsolidated capacity (MW)</t>
  </si>
  <si>
    <t>Edison Energy Solutions Spa</t>
  </si>
  <si>
    <t xml:space="preserve">(*) In accordance with IFRS 11 “Joint arrangements” from January 2014 some companies were deconsolidated line by line and valued by equity method.
</t>
  </si>
  <si>
    <t>For example: Elpedison, Ibiritermo, Sel Edison, Parco Eolico Castelnuovo.</t>
  </si>
  <si>
    <t>Total thermoelectric plants Edison (MW)</t>
  </si>
  <si>
    <t>Thermoelectric Plants - Deconsolidated (out of Edison perimeter)(*)</t>
  </si>
  <si>
    <t>Total foreign deconsolidated capacity (MW)</t>
  </si>
  <si>
    <t>Roccaspinalveti</t>
  </si>
  <si>
    <t>Total  Edison wind farms (MW)</t>
  </si>
  <si>
    <t>Wind Plants - Deconsolidated (out of Edison perimeter)(*)</t>
  </si>
  <si>
    <t>Net financial expenses paid</t>
  </si>
  <si>
    <t>Net income taxes paid</t>
  </si>
  <si>
    <t>Change in other operating assets and liabilities</t>
  </si>
  <si>
    <t>Cash flow from operating activities</t>
  </si>
  <si>
    <t>Change in operating working capital</t>
  </si>
  <si>
    <t>Net investments</t>
  </si>
  <si>
    <t>Cash flow after net investments and change in working capital</t>
  </si>
  <si>
    <t>Dividends paid</t>
  </si>
  <si>
    <t>Net cash flow for the period</t>
  </si>
  <si>
    <t>Net financial debt at end of the period</t>
  </si>
  <si>
    <t>IQ 2015</t>
  </si>
  <si>
    <t>IIQ 2015</t>
  </si>
  <si>
    <t>IH 2015</t>
  </si>
  <si>
    <t>III Q 2015</t>
  </si>
  <si>
    <t>9M 2015</t>
  </si>
  <si>
    <t>IV Q 2015</t>
  </si>
  <si>
    <t>FY 2015</t>
  </si>
  <si>
    <t>Net change in fair value of commodity derivatives</t>
  </si>
  <si>
    <t>Other income (expense), net</t>
  </si>
  <si>
    <t>Maleo</t>
  </si>
  <si>
    <t>Foiano -Toppo Grosso - M.te Barbato</t>
  </si>
  <si>
    <t>IQ 2016</t>
  </si>
  <si>
    <t>IIQ 2016</t>
  </si>
  <si>
    <t>IH 2016</t>
  </si>
  <si>
    <t>III Q 2016</t>
  </si>
  <si>
    <t>9M 2016</t>
  </si>
  <si>
    <t>IV Q 2016</t>
  </si>
  <si>
    <t>Net installed capacity 
MW</t>
  </si>
  <si>
    <t>Edison %</t>
  </si>
  <si>
    <t>Edison stake in net installed capacity
MW</t>
  </si>
  <si>
    <t>Consolidation method</t>
  </si>
  <si>
    <t xml:space="preserve"> line by line</t>
  </si>
  <si>
    <t>CCGT/LMS100</t>
  </si>
  <si>
    <t xml:space="preserve">Greece </t>
  </si>
  <si>
    <t>Equity method</t>
  </si>
  <si>
    <t xml:space="preserve">Edison % </t>
  </si>
  <si>
    <t>S. Giustina</t>
  </si>
  <si>
    <t>line by line</t>
  </si>
  <si>
    <t>Taio</t>
  </si>
  <si>
    <t>Cogno</t>
  </si>
  <si>
    <t>La Rocca</t>
  </si>
  <si>
    <t>Piancone</t>
  </si>
  <si>
    <t>BI</t>
  </si>
  <si>
    <t>Alto Preit</t>
  </si>
  <si>
    <t>CU</t>
  </si>
  <si>
    <t>Boschetto</t>
  </si>
  <si>
    <t>Verbano-Cusio-Ossola</t>
  </si>
  <si>
    <t>Dora II</t>
  </si>
  <si>
    <t>TO</t>
  </si>
  <si>
    <t>Gaggiolo</t>
  </si>
  <si>
    <t>Molino II</t>
  </si>
  <si>
    <t>Montalto</t>
  </si>
  <si>
    <t>Montescheno</t>
  </si>
  <si>
    <t>San Floreano</t>
  </si>
  <si>
    <t>Barcis</t>
  </si>
  <si>
    <t>Cellina Energy</t>
  </si>
  <si>
    <t>Cordenons</t>
  </si>
  <si>
    <t>Ponte Giulio</t>
  </si>
  <si>
    <t>San Foca</t>
  </si>
  <si>
    <t>San Leonardo</t>
  </si>
  <si>
    <t>Villa Rinaldi</t>
  </si>
  <si>
    <t>Arta</t>
  </si>
  <si>
    <t>Campagnola</t>
  </si>
  <si>
    <t>Campolessi</t>
  </si>
  <si>
    <t>Cisterna</t>
  </si>
  <si>
    <t>Fogliano</t>
  </si>
  <si>
    <t>GO</t>
  </si>
  <si>
    <t>Luincis</t>
  </si>
  <si>
    <t>Maseris</t>
  </si>
  <si>
    <t>Monfalcone Anconetta</t>
  </si>
  <si>
    <t>Monfalcone Porto</t>
  </si>
  <si>
    <t>Mulinaris</t>
  </si>
  <si>
    <t>Pineda</t>
  </si>
  <si>
    <t>Redipuglia</t>
  </si>
  <si>
    <t>Rodeano</t>
  </si>
  <si>
    <t>Ronchi</t>
  </si>
  <si>
    <t>Savorgnana</t>
  </si>
  <si>
    <t>Tramba</t>
  </si>
  <si>
    <t>Zoppola</t>
  </si>
  <si>
    <t>equity method</t>
  </si>
  <si>
    <t>Nominal capacity
MW</t>
  </si>
  <si>
    <t>Edison stake in nominal capacity 
MW</t>
  </si>
  <si>
    <t>Photovoltaic and biomass</t>
  </si>
  <si>
    <t>Total photovoltaic and biomass (MW)</t>
  </si>
  <si>
    <t>TOTAL OTHER RENEWABLES</t>
  </si>
  <si>
    <t>Installed capacity (MW)</t>
  </si>
  <si>
    <t>nr</t>
  </si>
  <si>
    <t>Wind</t>
  </si>
  <si>
    <t>Photovoltaic</t>
  </si>
  <si>
    <t>Total</t>
  </si>
  <si>
    <t xml:space="preserve">      Gas activities</t>
  </si>
  <si>
    <t>EBITDA Corporate and adjustments</t>
  </si>
  <si>
    <t xml:space="preserve">        Gas activities</t>
  </si>
  <si>
    <t xml:space="preserve">Reported EBIT </t>
  </si>
  <si>
    <t>Total Sources</t>
  </si>
  <si>
    <t>Other purchases</t>
  </si>
  <si>
    <t>Change in stored gas inventory</t>
  </si>
  <si>
    <t>FY 2016 (1)</t>
  </si>
  <si>
    <t>(1) FY2016 figures include the full consolidation of Fenice from April 1, the swap of Edison participations in Hydros and Sel Edison with 100%  of Cellina Energy, fully consolidated from June 1, the acquisition of Idreg Piemonte assets on May 25, the sale of Termica Milazzo on Aug. 1 and the  sale of Fenice Russia in September</t>
  </si>
  <si>
    <t>Adjusted EBITDA (2)</t>
  </si>
  <si>
    <t>(2) Adjusted EBITDA reflect the effect of the reclassification from the Hydrocarbons Operations to the Electric Power Operations of the portion of the results of commodity and foreign exchange hedges executed in connection with contracts to import natural gas attributable to the Electric Power Operations. This reclassification is being made to provide a consistent operational presentation of industrial results. Adjusted EBITDA include central staff and technical services.</t>
  </si>
  <si>
    <t>2013 Restated</t>
  </si>
  <si>
    <t>2014 Restated</t>
  </si>
  <si>
    <t>2016 (1)</t>
  </si>
  <si>
    <t xml:space="preserve">(3) 2013 N/A due to the implementation of the new cash flow scheme from 2014 </t>
  </si>
  <si>
    <t xml:space="preserve">Goodwill </t>
  </si>
  <si>
    <t>Intangibles</t>
  </si>
  <si>
    <t xml:space="preserve">Financial fixed assets </t>
  </si>
  <si>
    <t xml:space="preserve">Depreciation and Amortization </t>
  </si>
  <si>
    <t>Writedowns</t>
  </si>
  <si>
    <t xml:space="preserve">Depreciation and Amortization  </t>
  </si>
  <si>
    <t xml:space="preserve">IH 2016 </t>
  </si>
  <si>
    <t>Writedowns of trade and other receivables</t>
  </si>
  <si>
    <t>Realized Commodity derivatives</t>
  </si>
  <si>
    <t>Change in inventories</t>
  </si>
  <si>
    <t>Use of property not owned</t>
  </si>
  <si>
    <t>Maintenance</t>
  </si>
  <si>
    <t>Professional services</t>
  </si>
  <si>
    <t>Additions to provisions for miscellaneous</t>
  </si>
  <si>
    <t>Sub-total</t>
  </si>
  <si>
    <t>Other fuel costs</t>
  </si>
  <si>
    <t>Natural Gas</t>
  </si>
  <si>
    <t>Margin on financial trading activities</t>
  </si>
  <si>
    <t>Losses on sale of property, plant and equipment</t>
  </si>
  <si>
    <t xml:space="preserve">Thermoelectric </t>
  </si>
  <si>
    <t xml:space="preserve">Hydroelectric </t>
  </si>
  <si>
    <t>Wind and other Renewables</t>
  </si>
  <si>
    <t>End customers</t>
  </si>
  <si>
    <r>
      <t>Other purchases (wholesalers, IPEX, etc.)</t>
    </r>
    <r>
      <rPr>
        <vertAlign val="superscript"/>
        <sz val="10"/>
        <rFont val="Arial"/>
        <family val="2"/>
      </rPr>
      <t xml:space="preserve"> (1)</t>
    </r>
  </si>
  <si>
    <r>
      <t xml:space="preserve">Production outside Italy </t>
    </r>
    <r>
      <rPr>
        <sz val="8"/>
        <rFont val="Arial"/>
        <family val="2"/>
      </rPr>
      <t>(including volumes withheld as production tax)</t>
    </r>
  </si>
  <si>
    <r>
      <t xml:space="preserve">Production in Italy </t>
    </r>
    <r>
      <rPr>
        <vertAlign val="superscript"/>
        <sz val="10"/>
        <rFont val="Arial"/>
        <family val="2"/>
      </rPr>
      <t>(1)</t>
    </r>
  </si>
  <si>
    <t>Sales outside Italy</t>
  </si>
  <si>
    <t xml:space="preserve">Other purchases </t>
  </si>
  <si>
    <t>Production outside Italy</t>
  </si>
  <si>
    <t xml:space="preserve">Depreciation and  Amortization </t>
  </si>
  <si>
    <t xml:space="preserve">Total EBIT </t>
  </si>
  <si>
    <t>Net financial debt at beginning of period</t>
  </si>
  <si>
    <t>RESERVES P1 + 50% P2 (bln cm equivalent)</t>
  </si>
  <si>
    <t>Gas production outside Italy</t>
  </si>
  <si>
    <t>SERBATOIO    -   reservoir</t>
  </si>
  <si>
    <t>BACINO         -         basin</t>
  </si>
  <si>
    <t>FLUENTE     -    run of river</t>
  </si>
  <si>
    <t>RID</t>
  </si>
  <si>
    <t>Far-e</t>
  </si>
  <si>
    <t>Region</t>
  </si>
  <si>
    <t>Wind Power Plants</t>
  </si>
  <si>
    <t>Campania</t>
  </si>
  <si>
    <t>Casone Romano - Castelnuovo Daunia</t>
  </si>
  <si>
    <t>Puglia</t>
  </si>
  <si>
    <t>Abruzzo</t>
  </si>
  <si>
    <t>Castiglione Messer Marino - Ampliamento</t>
  </si>
  <si>
    <t>Faeto San Vito Ciuccia</t>
  </si>
  <si>
    <t>Faeto ampliamento</t>
  </si>
  <si>
    <t>Foiano Ampliamento</t>
  </si>
  <si>
    <t>Fraine</t>
  </si>
  <si>
    <t>Molise</t>
  </si>
  <si>
    <t>Melissa PESF</t>
  </si>
  <si>
    <t>Calabria</t>
  </si>
  <si>
    <t>Melissa Strongoli</t>
  </si>
  <si>
    <t>Sicilia</t>
  </si>
  <si>
    <t>Montazzoli</t>
  </si>
  <si>
    <t>Monteferrante</t>
  </si>
  <si>
    <t>Montemignaio</t>
  </si>
  <si>
    <t>Toscana</t>
  </si>
  <si>
    <t>Orsara di Puglia</t>
  </si>
  <si>
    <t>Rignano Garganico</t>
  </si>
  <si>
    <t>Rocchetta S.Antonio</t>
  </si>
  <si>
    <t>Rojo del Sangro</t>
  </si>
  <si>
    <t>San benedetto Val di Sambro</t>
  </si>
  <si>
    <t>Emilia Romagna</t>
  </si>
  <si>
    <t>San Giorgio la Molara Polero</t>
  </si>
  <si>
    <t>Schiavi d'Abruzzo</t>
  </si>
  <si>
    <t>Vaglio di Basilicata</t>
  </si>
  <si>
    <t>Basilicata</t>
  </si>
  <si>
    <t>Volturara Motta Montecorvino</t>
  </si>
  <si>
    <t>Lazio</t>
  </si>
  <si>
    <t>Piemonte</t>
  </si>
  <si>
    <t>Veneto</t>
  </si>
  <si>
    <t>THERMOELECTRIC</t>
  </si>
  <si>
    <t xml:space="preserve">HAUPT PHARMA </t>
  </si>
  <si>
    <t>Borgo San Michele di Latina (LT)</t>
  </si>
  <si>
    <t xml:space="preserve">industrial </t>
  </si>
  <si>
    <t>Gas engine</t>
  </si>
  <si>
    <t>CIER</t>
  </si>
  <si>
    <t>Castellalto Vomano (TE)</t>
  </si>
  <si>
    <t>PLASTOTECNICA</t>
  </si>
  <si>
    <t>Bagnoli di Sopra (PD)</t>
  </si>
  <si>
    <t>Albizzate</t>
  </si>
  <si>
    <t>North Italy</t>
  </si>
  <si>
    <t>Fenice</t>
  </si>
  <si>
    <t>Cogeneration</t>
  </si>
  <si>
    <t>Atessa Sevel</t>
  </si>
  <si>
    <t>South Italy</t>
  </si>
  <si>
    <t>Trigeneration</t>
  </si>
  <si>
    <t>Barge</t>
  </si>
  <si>
    <t>Biandronno</t>
  </si>
  <si>
    <t>Brescia</t>
  </si>
  <si>
    <t>Caserta - Marcianise</t>
  </si>
  <si>
    <t>Ergom -Melfi</t>
  </si>
  <si>
    <t>Gelco</t>
  </si>
  <si>
    <t>Melfi (Rendina Ambiente S.r.l)</t>
  </si>
  <si>
    <t>Southern Italy</t>
  </si>
  <si>
    <t>waste from industry and public administration</t>
  </si>
  <si>
    <t>gas/waste</t>
  </si>
  <si>
    <t>Furnace</t>
  </si>
  <si>
    <t>Mirafiori</t>
  </si>
  <si>
    <t>industrial</t>
  </si>
  <si>
    <t>Parma</t>
  </si>
  <si>
    <t>Middle Italy</t>
  </si>
  <si>
    <t>Sata</t>
  </si>
  <si>
    <t>Scarlino</t>
  </si>
  <si>
    <t>Stura</t>
  </si>
  <si>
    <t>La Mandria</t>
  </si>
  <si>
    <t>Northern Italy</t>
  </si>
  <si>
    <t>Electricity grid</t>
  </si>
  <si>
    <t>canal</t>
  </si>
  <si>
    <t>OTHER RENEWABLES</t>
  </si>
  <si>
    <t xml:space="preserve">Photovoltaic </t>
  </si>
  <si>
    <t>Mediglia (MI)</t>
  </si>
  <si>
    <t>Latina (LT)</t>
  </si>
  <si>
    <t>Monza (MB)</t>
  </si>
  <si>
    <t>Total photovoltaic (MW)</t>
  </si>
  <si>
    <t>Generation plants</t>
  </si>
  <si>
    <t>Thermoelectric (Greece + Brazil)</t>
  </si>
  <si>
    <t>EDISON CONSOLIDATED ANNUAL PROFIT AND LOSS, BALANCE SHEET AND CASH FLOW STATEMENT</t>
  </si>
  <si>
    <t>Adjusted EBITDA (2) Electric Power operations</t>
  </si>
  <si>
    <t>Adjusted EBITDA (2) Hydrocarbons operations</t>
  </si>
  <si>
    <t xml:space="preserve">       Exploration and production</t>
  </si>
  <si>
    <t>Total EBITDA</t>
  </si>
  <si>
    <t>2013 (3)</t>
  </si>
  <si>
    <t>EDISON ANNUAL RESULTS BY DIVISION</t>
  </si>
  <si>
    <t xml:space="preserve">Reported EBITDA </t>
  </si>
  <si>
    <t xml:space="preserve">        Exploration &amp; Production</t>
  </si>
  <si>
    <t>Investments in exploration</t>
  </si>
  <si>
    <t xml:space="preserve">(2) Before line losses </t>
  </si>
  <si>
    <t>(3) Excluding the trading portfolio</t>
  </si>
  <si>
    <r>
      <t xml:space="preserve">End customers </t>
    </r>
    <r>
      <rPr>
        <vertAlign val="superscript"/>
        <sz val="10"/>
        <rFont val="Arial"/>
        <family val="2"/>
      </rPr>
      <t>(2)</t>
    </r>
  </si>
  <si>
    <r>
      <t xml:space="preserve">other sales (wholesalers, IPEX, etc.) </t>
    </r>
    <r>
      <rPr>
        <vertAlign val="superscript"/>
        <sz val="10"/>
        <rFont val="Arial"/>
        <family val="2"/>
      </rPr>
      <t>(3)</t>
    </r>
  </si>
  <si>
    <t>Import (Pipe +LNG)</t>
  </si>
  <si>
    <r>
      <t>Changes in stored gas inventory</t>
    </r>
    <r>
      <rPr>
        <vertAlign val="superscript"/>
        <sz val="10"/>
        <rFont val="Arial"/>
        <family val="2"/>
      </rPr>
      <t xml:space="preserve"> (2)</t>
    </r>
  </si>
  <si>
    <t>RESERVES P1 + 50% P2 (Mboe equivalent)</t>
  </si>
  <si>
    <t>(1) Including the production from the Izabela concession in Croatia imported in Italy from 2014</t>
  </si>
  <si>
    <t>(2) Includes pipeline leaks. A negative change reflects additions to the stored gas inventory</t>
  </si>
  <si>
    <t>Adjusted EBITDA (2) Electric Power</t>
  </si>
  <si>
    <t xml:space="preserve">Adjusted EBITDA (2) Hydrocarbons </t>
  </si>
  <si>
    <t xml:space="preserve">      Exploration and production</t>
  </si>
  <si>
    <t xml:space="preserve">Of which: </t>
  </si>
  <si>
    <t xml:space="preserve">      Of which: </t>
  </si>
  <si>
    <t>Employees (Number end of period)</t>
  </si>
  <si>
    <t>Reported EBITDA</t>
  </si>
  <si>
    <t>of which:</t>
  </si>
  <si>
    <t>Gas Uses</t>
  </si>
  <si>
    <t>Gas Sources</t>
  </si>
  <si>
    <r>
      <t xml:space="preserve">Production Italy </t>
    </r>
    <r>
      <rPr>
        <vertAlign val="superscript"/>
        <sz val="10"/>
        <rFont val="Arial"/>
        <family val="2"/>
      </rPr>
      <t>(3)</t>
    </r>
  </si>
  <si>
    <r>
      <t xml:space="preserve">CRUDE OIL VOLUMES </t>
    </r>
    <r>
      <rPr>
        <u val="single"/>
        <sz val="10"/>
        <rFont val="Arial"/>
        <family val="2"/>
      </rPr>
      <t>(kbbl)</t>
    </r>
  </si>
  <si>
    <t>Crude oil production</t>
  </si>
  <si>
    <t xml:space="preserve">Production Italy </t>
  </si>
  <si>
    <t>(4) Counting volumes withheld as production tax</t>
  </si>
  <si>
    <t xml:space="preserve">Total Production </t>
  </si>
  <si>
    <r>
      <t xml:space="preserve">Production outside Italy </t>
    </r>
    <r>
      <rPr>
        <vertAlign val="superscript"/>
        <sz val="10"/>
        <rFont val="Arial"/>
        <family val="2"/>
      </rPr>
      <t>(4)</t>
    </r>
  </si>
  <si>
    <t>(3) It includes the production from the Izabela concession in Croatia imported into Italy from 2014</t>
  </si>
  <si>
    <t>Employees (nr of units end of period)</t>
  </si>
  <si>
    <t>(1) Before line losses and excluding the trading portfolio</t>
  </si>
  <si>
    <t>IQ 2017</t>
  </si>
  <si>
    <t>n.a</t>
  </si>
  <si>
    <t>IIQ 2017</t>
  </si>
  <si>
    <t>III Q 2017</t>
  </si>
  <si>
    <t>9M 2017</t>
  </si>
  <si>
    <t>IV Q 2017</t>
  </si>
  <si>
    <t>FY 2017 (1)</t>
  </si>
  <si>
    <t xml:space="preserve">(5) IH2017 figures include the acquisition of 51% of Comat and Assistenza Casa and the sale of Gever in March. </t>
  </si>
  <si>
    <t xml:space="preserve">IH 2017 (5) </t>
  </si>
  <si>
    <t>In view of the binding offer received from Snam for the sale of 100% of Infrastrutture Trasporto Gas and 7.3% in Terminale GNL Adriatico, semiannual results include the non recurring negative effect of the sale of such non strategic gas assets. The relevant assets and liabilities have been  reclassified among assets and liabilities available for disposal.</t>
  </si>
  <si>
    <t>THERMOELECTRIC GENERATION PLANTS @ JUNE 30, 2017</t>
  </si>
  <si>
    <t>HYDROELECTRIC GENERATION PLANTS @ JUNE 30, 2017</t>
  </si>
  <si>
    <t>Mini hydro</t>
  </si>
  <si>
    <t>Large</t>
  </si>
  <si>
    <t>MW</t>
  </si>
  <si>
    <t xml:space="preserve">Run of river </t>
  </si>
  <si>
    <t xml:space="preserve">Reservoir </t>
  </si>
  <si>
    <t>Ex Shen, acquired in 2015</t>
  </si>
  <si>
    <t>SDE acquired in 2H2009</t>
  </si>
  <si>
    <t>Idreg acquired on May 25, 2016</t>
  </si>
  <si>
    <t>Cellina, acquired in May 2016, consolidated from June 1 2016</t>
  </si>
  <si>
    <t>Pizzighettone</t>
  </si>
  <si>
    <t>CR</t>
  </si>
  <si>
    <t>Total Edison Hydroelectric Plants (MW) @ June 30, 2017</t>
  </si>
  <si>
    <t>Cresti</t>
  </si>
  <si>
    <t>Mini hydro plants</t>
  </si>
  <si>
    <t>Plants at une 30, 2017</t>
  </si>
  <si>
    <t>Other hydro plants (concessions)</t>
  </si>
  <si>
    <t>OTHER RENEWABLES GENERATION PLANTS @ JUNE 30, 2017</t>
  </si>
  <si>
    <t>ENERGY EFFICIENCY PLANTS @ JUNE 30, 2017</t>
  </si>
  <si>
    <t xml:space="preserve">ITALY </t>
  </si>
  <si>
    <t>Natural gas</t>
  </si>
  <si>
    <t>Total  (MW)</t>
  </si>
  <si>
    <t>xxx</t>
  </si>
  <si>
    <t>INTERNATIONAL</t>
  </si>
  <si>
    <t>Nr of plants</t>
  </si>
  <si>
    <t>Poland (Rzeszow)</t>
  </si>
  <si>
    <t xml:space="preserve">Industrial </t>
  </si>
  <si>
    <t xml:space="preserve">Spain (Orense/Lugo/Madrid) </t>
  </si>
  <si>
    <t xml:space="preserve">gas </t>
  </si>
  <si>
    <t xml:space="preserve">Spain (Orense) </t>
  </si>
  <si>
    <t xml:space="preserve">fuel oil </t>
  </si>
  <si>
    <t>Spain (Valladolid)</t>
  </si>
  <si>
    <t>Total international (MW)</t>
  </si>
  <si>
    <t>Total energy efficiency (MW)</t>
  </si>
  <si>
    <t>ENERGY EFFICIENCY SUMMARY</t>
  </si>
  <si>
    <t>Edison Energy Solutions</t>
  </si>
  <si>
    <t>o/w Italy</t>
  </si>
  <si>
    <t xml:space="preserve">        Spain</t>
  </si>
  <si>
    <t>Coal (Poland)</t>
  </si>
  <si>
    <t>Hydroelectric (Italy)</t>
  </si>
  <si>
    <t>@ June 30, 2017</t>
  </si>
  <si>
    <t>Energy Efficiency Plants (generation)</t>
  </si>
  <si>
    <t xml:space="preserve">Total sources </t>
  </si>
  <si>
    <t>Total uses</t>
  </si>
</sst>
</file>

<file path=xl/styles.xml><?xml version="1.0" encoding="utf-8"?>
<styleSheet xmlns="http://schemas.openxmlformats.org/spreadsheetml/2006/main">
  <numFmts count="6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d\-mmm\-yy"/>
    <numFmt numFmtId="168" formatCode="#,##0.0"/>
    <numFmt numFmtId="169" formatCode="_-* #,##0.0_-;\-* #,##0.0_-;_-* &quot;-&quot;_-;_-@_-"/>
    <numFmt numFmtId="170" formatCode="_-* #,##0_-;\-* #,##0_-;_-* &quot;-&quot;?_-;_-@_-"/>
    <numFmt numFmtId="171" formatCode="#,##0.0_);[Red]\(#,##0.0\)"/>
    <numFmt numFmtId="172" formatCode="#,##0_);[Red]\(#,##0\);&quot;-&quot;_);@"/>
    <numFmt numFmtId="173" formatCode="#,##0.0_);[Red]\(#,##0.0\);&quot;-&quot;_);[Blue]&quot;Error-&quot;@"/>
    <numFmt numFmtId="174" formatCode="#,##0.00_);[Red]\(#,##0.00\);&quot;-&quot;_);[Blue]&quot;Error-&quot;@"/>
    <numFmt numFmtId="175" formatCode="#,##0_);[Red]\(#,##0\);&quot;-&quot;_);[Blue]&quot;Error-&quot;@"/>
    <numFmt numFmtId="176" formatCode="&quot;x&quot;\ #,##0.00_);[Red]&quot;x&quot;\ \(#,##0.00\);&quot;-&quot;_);@"/>
    <numFmt numFmtId="177" formatCode="&quot;£&quot;* #,##0_);[Red]&quot;£&quot;* \(#,##0\);&quot;£&quot;* &quot;-&quot;_);[Blue]&quot;Error-&quot;@"/>
    <numFmt numFmtId="178" formatCode="&quot;£&quot;* #,##0.0_);[Red]&quot;£&quot;* \(#,##0.0\);&quot;£&quot;* &quot;-&quot;_);[Blue]&quot;Error-&quot;@"/>
    <numFmt numFmtId="179" formatCode="&quot;£&quot;* #,##0.00_);[Red]&quot;£&quot;* \(#,##0.00\);&quot;£&quot;* &quot;-&quot;_);[Blue]&quot;Error-&quot;@"/>
    <numFmt numFmtId="180" formatCode="dd\ mmm\ yyyy_)"/>
    <numFmt numFmtId="181" formatCode="dd/mm/yy_)"/>
    <numFmt numFmtId="182" formatCode="0%_);[Red]\-0%_);0%_);[Blue]&quot;Error-&quot;@"/>
    <numFmt numFmtId="183" formatCode="0.0%_);[Red]\-0.0%_);0.0%_);[Blue]&quot;Error-&quot;@"/>
    <numFmt numFmtId="184" formatCode="0.00%_);[Red]\-0.00%_);0.00%_);[Blue]&quot;Error-&quot;@"/>
    <numFmt numFmtId="185" formatCode="#,##0.0;\(#,##0.0\)"/>
    <numFmt numFmtId="186" formatCode="#,##0.00;\(#,##0.00\)"/>
    <numFmt numFmtId="187" formatCode="#,##0.000;[Red]\(#,##0.000\)"/>
    <numFmt numFmtId="188" formatCode="000"/>
    <numFmt numFmtId="189" formatCode="[Blue]\+_ #,##0_);[Magenta]\(#,##0\);\-_)"/>
    <numFmt numFmtId="190" formatCode="[Blue]\+_ #,##0.0_);[Magenta]\(#,##0.0\);\-_)"/>
    <numFmt numFmtId="191" formatCode="[Blue]\+_ #,##0.00_);[Magenta]\(#,##0.00\);\-_)"/>
    <numFmt numFmtId="192" formatCode="yyyy/mm/dd\ "/>
    <numFmt numFmtId="193" formatCode="0.0000_)"/>
    <numFmt numFmtId="194" formatCode="[Blue]#,##0_);[Magenta]\(#,##0\)"/>
    <numFmt numFmtId="195" formatCode="[Blue]#,##0.0_);[Magenta]\(#,##0.0\)"/>
    <numFmt numFmtId="196" formatCode="[Blue]#,##0.00_);[Magenta]\(#,##0.00\)"/>
    <numFmt numFmtId="197" formatCode="[Blue]0.00%"/>
    <numFmt numFmtId="198" formatCode="[Blue]#,##0_);[Magenta]\(#,##0\);\-"/>
    <numFmt numFmtId="199" formatCode="[Blue]#,##0.000_);[Magenta]\(#,##0.000\);\-"/>
    <numFmt numFmtId="200" formatCode="#,##0_);[Red]\(#,##0\)"/>
    <numFmt numFmtId="201" formatCode="#,##0.00_);[Red]\(#,##0.00\)"/>
    <numFmt numFmtId="202" formatCode="#,##0.000_);[Red]\(#,##0.000\);\-"/>
    <numFmt numFmtId="203" formatCode="yyyy/mm/dd\ hh:mm"/>
    <numFmt numFmtId="204" formatCode="\'@\'"/>
    <numFmt numFmtId="205" formatCode="_-&quot;L.&quot;\ * #,##0_-;\-&quot;L.&quot;\ * #,##0_-;_-&quot;L.&quot;\ * &quot;-&quot;_-;_-@_-"/>
    <numFmt numFmtId="206" formatCode="#,##0.000"/>
    <numFmt numFmtId="207" formatCode="0.000"/>
    <numFmt numFmtId="208" formatCode="0.0000"/>
    <numFmt numFmtId="209" formatCode="_-* #,##0.00_-;\-* #,##0.00_-;_-* &quot;-&quot;_-;_-@_-"/>
    <numFmt numFmtId="210" formatCode="_-* #,##0.000_-;\-* #,##0.000_-;_-* &quot;-&quot;_-;_-@_-"/>
    <numFmt numFmtId="211" formatCode="_-* #,##0.0000_-;\-* #,##0.0000_-;_-* &quot;-&quot;_-;_-@_-"/>
    <numFmt numFmtId="212" formatCode="#,##0.0000"/>
    <numFmt numFmtId="213" formatCode="_-* #,##0.0_-;\-* #,##0.0_-;_-* &quot;-&quot;?_-;_-@_-"/>
    <numFmt numFmtId="214" formatCode="#,##0;\ \(#,##0\)"/>
    <numFmt numFmtId="215" formatCode="[$-F800]dddd\,\ mmmm\ dd\,\ yyyy"/>
    <numFmt numFmtId="216" formatCode="&quot;Sì&quot;;&quot;Sì&quot;;&quot;No&quot;"/>
    <numFmt numFmtId="217" formatCode="&quot;Vero&quot;;&quot;Vero&quot;;&quot;Falso&quot;"/>
    <numFmt numFmtId="218" formatCode="&quot;Attivo&quot;;&quot;Attivo&quot;;&quot;Inattivo&quot;"/>
    <numFmt numFmtId="219" formatCode="[$€-2]\ #.##000_);[Red]\([$€-2]\ #.##000\)"/>
    <numFmt numFmtId="220" formatCode="[$-410]mmmm\-yy;@"/>
  </numFmts>
  <fonts count="127">
    <font>
      <sz val="10"/>
      <name val="Arial"/>
      <family val="0"/>
    </font>
    <font>
      <b/>
      <sz val="10"/>
      <name val="Arial"/>
      <family val="2"/>
    </font>
    <font>
      <u val="single"/>
      <sz val="10"/>
      <color indexed="12"/>
      <name val="Arial"/>
      <family val="2"/>
    </font>
    <font>
      <u val="single"/>
      <sz val="10"/>
      <color indexed="36"/>
      <name val="Arial"/>
      <family val="2"/>
    </font>
    <font>
      <b/>
      <u val="single"/>
      <sz val="10"/>
      <name val="Arial"/>
      <family val="2"/>
    </font>
    <font>
      <b/>
      <sz val="10"/>
      <color indexed="9"/>
      <name val="Arial"/>
      <family val="2"/>
    </font>
    <font>
      <b/>
      <i/>
      <sz val="10"/>
      <name val="Arial"/>
      <family val="2"/>
    </font>
    <font>
      <b/>
      <u val="single"/>
      <sz val="12"/>
      <name val="Arial"/>
      <family val="2"/>
    </font>
    <font>
      <sz val="10"/>
      <color indexed="12"/>
      <name val="Arial"/>
      <family val="2"/>
    </font>
    <font>
      <sz val="8"/>
      <name val="Arial"/>
      <family val="2"/>
    </font>
    <font>
      <i/>
      <sz val="10"/>
      <name val="Arial"/>
      <family val="2"/>
    </font>
    <font>
      <sz val="9"/>
      <name val="Arial"/>
      <family val="2"/>
    </font>
    <font>
      <b/>
      <sz val="9"/>
      <name val="Arial"/>
      <family val="2"/>
    </font>
    <font>
      <sz val="11"/>
      <name val="Arial"/>
      <family val="2"/>
    </font>
    <font>
      <u val="single"/>
      <sz val="10"/>
      <name val="Arial"/>
      <family val="2"/>
    </font>
    <font>
      <sz val="10"/>
      <name val="Helv"/>
      <family val="0"/>
    </font>
    <font>
      <sz val="13"/>
      <name val="Tms Rmn"/>
      <family val="0"/>
    </font>
    <font>
      <sz val="12"/>
      <name val="Tms Rmn"/>
      <family val="0"/>
    </font>
    <font>
      <sz val="10"/>
      <name val="Tms Rmn"/>
      <family val="0"/>
    </font>
    <font>
      <sz val="12"/>
      <color indexed="9"/>
      <name val="Arial"/>
      <family val="2"/>
    </font>
    <font>
      <sz val="11"/>
      <color indexed="8"/>
      <name val="Arial"/>
      <family val="2"/>
    </font>
    <font>
      <b/>
      <u val="single"/>
      <sz val="10"/>
      <name val="Helv"/>
      <family val="0"/>
    </font>
    <font>
      <b/>
      <i/>
      <sz val="10"/>
      <name val="Helv"/>
      <family val="0"/>
    </font>
    <font>
      <i/>
      <sz val="8"/>
      <color indexed="62"/>
      <name val="Arial"/>
      <family val="2"/>
    </font>
    <font>
      <sz val="8"/>
      <color indexed="20"/>
      <name val="Arial"/>
      <family val="2"/>
    </font>
    <font>
      <sz val="10"/>
      <name val="MS Sans Serif"/>
      <family val="2"/>
    </font>
    <font>
      <sz val="9"/>
      <name val="Geneva"/>
      <family val="0"/>
    </font>
    <font>
      <b/>
      <sz val="12"/>
      <color indexed="8"/>
      <name val="Arial"/>
      <family val="2"/>
    </font>
    <font>
      <b/>
      <i/>
      <u val="single"/>
      <sz val="10"/>
      <name val="Helv"/>
      <family val="0"/>
    </font>
    <font>
      <b/>
      <i/>
      <sz val="12"/>
      <name val="Arial"/>
      <family val="2"/>
    </font>
    <font>
      <sz val="9"/>
      <color indexed="8"/>
      <name val="Arial"/>
      <family val="2"/>
    </font>
    <font>
      <sz val="7"/>
      <name val="Arial"/>
      <family val="2"/>
    </font>
    <font>
      <b/>
      <u val="single"/>
      <sz val="16"/>
      <name val="Arial"/>
      <family val="2"/>
    </font>
    <font>
      <b/>
      <i/>
      <u val="single"/>
      <sz val="14"/>
      <name val="Arial"/>
      <family val="2"/>
    </font>
    <font>
      <b/>
      <sz val="10"/>
      <color indexed="10"/>
      <name val="Arial"/>
      <family val="2"/>
    </font>
    <font>
      <sz val="12"/>
      <name val="Arial"/>
      <family val="2"/>
    </font>
    <font>
      <b/>
      <sz val="10"/>
      <color indexed="12"/>
      <name val="Arial"/>
      <family val="2"/>
    </font>
    <font>
      <vertAlign val="superscript"/>
      <sz val="10"/>
      <name val="Arial"/>
      <family val="2"/>
    </font>
    <font>
      <b/>
      <i/>
      <u val="single"/>
      <sz val="10"/>
      <name val="Arial"/>
      <family val="2"/>
    </font>
    <font>
      <sz val="12"/>
      <name val="Calibri"/>
      <family val="2"/>
    </font>
    <font>
      <b/>
      <sz val="12"/>
      <name val="Calibri"/>
      <family val="2"/>
    </font>
    <font>
      <sz val="11"/>
      <name val="Calibri"/>
      <family val="2"/>
    </font>
    <font>
      <b/>
      <sz val="11"/>
      <name val="Calibri"/>
      <family val="2"/>
    </font>
    <font>
      <b/>
      <u val="single"/>
      <sz val="11"/>
      <name val="Calibri"/>
      <family val="2"/>
    </font>
    <font>
      <u val="single"/>
      <sz val="11"/>
      <name val="Calibri"/>
      <family val="2"/>
    </font>
    <font>
      <b/>
      <i/>
      <sz val="11"/>
      <name val="Calibri"/>
      <family val="2"/>
    </font>
    <font>
      <i/>
      <sz val="11"/>
      <name val="Calibri"/>
      <family val="2"/>
    </font>
    <font>
      <b/>
      <sz val="16"/>
      <name val="Calibri"/>
      <family val="2"/>
    </font>
    <font>
      <b/>
      <i/>
      <u val="single"/>
      <sz val="11"/>
      <name val="Calibri"/>
      <family val="2"/>
    </font>
    <font>
      <b/>
      <sz val="8"/>
      <color indexed="8"/>
      <name val="Tahoma"/>
      <family val="2"/>
    </font>
    <font>
      <sz val="8"/>
      <color indexed="8"/>
      <name val="Tahoma"/>
      <family val="2"/>
    </font>
    <font>
      <b/>
      <sz val="10"/>
      <color indexed="8"/>
      <name val="Tahoma"/>
      <family val="2"/>
    </font>
    <font>
      <sz val="10"/>
      <color indexed="8"/>
      <name val="Tahoma"/>
      <family val="2"/>
    </font>
    <font>
      <b/>
      <sz val="9"/>
      <color indexed="8"/>
      <name val="Tahoma"/>
      <family val="2"/>
    </font>
    <font>
      <sz val="9"/>
      <color indexed="8"/>
      <name val="Tahom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30"/>
      <name val="Arial"/>
      <family val="2"/>
    </font>
    <font>
      <sz val="10"/>
      <color indexed="10"/>
      <name val="Arial"/>
      <family val="2"/>
    </font>
    <font>
      <b/>
      <u val="single"/>
      <sz val="10"/>
      <color indexed="8"/>
      <name val="Arial"/>
      <family val="2"/>
    </font>
    <font>
      <sz val="10"/>
      <color indexed="8"/>
      <name val="Arial"/>
      <family val="2"/>
    </font>
    <font>
      <b/>
      <u val="single"/>
      <sz val="12"/>
      <color indexed="8"/>
      <name val="Arial"/>
      <family val="2"/>
    </font>
    <font>
      <sz val="12"/>
      <color indexed="8"/>
      <name val="Arial"/>
      <family val="2"/>
    </font>
    <font>
      <b/>
      <sz val="10"/>
      <color indexed="8"/>
      <name val="Arial"/>
      <family val="2"/>
    </font>
    <font>
      <b/>
      <i/>
      <u val="single"/>
      <sz val="10"/>
      <color indexed="8"/>
      <name val="Arial"/>
      <family val="2"/>
    </font>
    <font>
      <b/>
      <i/>
      <sz val="10"/>
      <color indexed="8"/>
      <name val="Arial"/>
      <family val="2"/>
    </font>
    <font>
      <u val="single"/>
      <sz val="10"/>
      <color indexed="8"/>
      <name val="Arial"/>
      <family val="2"/>
    </font>
    <font>
      <i/>
      <sz val="10"/>
      <color indexed="30"/>
      <name val="Arial"/>
      <family val="2"/>
    </font>
    <font>
      <b/>
      <sz val="10"/>
      <color indexed="30"/>
      <name val="Arial"/>
      <family val="2"/>
    </font>
    <font>
      <b/>
      <i/>
      <sz val="10"/>
      <color indexed="30"/>
      <name val="Arial"/>
      <family val="2"/>
    </font>
    <font>
      <sz val="11"/>
      <color indexed="12"/>
      <name val="Calibri"/>
      <family val="2"/>
    </font>
    <font>
      <i/>
      <sz val="11"/>
      <color indexed="12"/>
      <name val="Calibri"/>
      <family val="2"/>
    </font>
    <font>
      <b/>
      <sz val="11"/>
      <color indexed="40"/>
      <name val="Calibri"/>
      <family val="2"/>
    </font>
    <font>
      <b/>
      <sz val="12"/>
      <color indexed="10"/>
      <name val="Calibri"/>
      <family val="2"/>
    </font>
    <font>
      <b/>
      <i/>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0070C0"/>
      <name val="Arial"/>
      <family val="2"/>
    </font>
    <font>
      <sz val="10"/>
      <color rgb="FFFF0000"/>
      <name val="Arial"/>
      <family val="2"/>
    </font>
    <font>
      <b/>
      <u val="single"/>
      <sz val="10"/>
      <color theme="1"/>
      <name val="Arial"/>
      <family val="2"/>
    </font>
    <font>
      <sz val="10"/>
      <color theme="1"/>
      <name val="Arial"/>
      <family val="2"/>
    </font>
    <font>
      <b/>
      <u val="single"/>
      <sz val="12"/>
      <color theme="1"/>
      <name val="Arial"/>
      <family val="2"/>
    </font>
    <font>
      <sz val="12"/>
      <color theme="1"/>
      <name val="Arial"/>
      <family val="2"/>
    </font>
    <font>
      <b/>
      <sz val="10"/>
      <color theme="1"/>
      <name val="Arial"/>
      <family val="2"/>
    </font>
    <font>
      <b/>
      <i/>
      <u val="single"/>
      <sz val="10"/>
      <color theme="1"/>
      <name val="Arial"/>
      <family val="2"/>
    </font>
    <font>
      <b/>
      <i/>
      <sz val="10"/>
      <color theme="1"/>
      <name val="Arial"/>
      <family val="2"/>
    </font>
    <font>
      <u val="single"/>
      <sz val="10"/>
      <color theme="1"/>
      <name val="Arial"/>
      <family val="2"/>
    </font>
    <font>
      <i/>
      <sz val="10"/>
      <color rgb="FF0070C0"/>
      <name val="Arial"/>
      <family val="2"/>
    </font>
    <font>
      <b/>
      <sz val="10"/>
      <color rgb="FF0070C0"/>
      <name val="Arial"/>
      <family val="2"/>
    </font>
    <font>
      <b/>
      <i/>
      <sz val="10"/>
      <color rgb="FF0070C0"/>
      <name val="Arial"/>
      <family val="2"/>
    </font>
    <font>
      <b/>
      <sz val="10"/>
      <color theme="0"/>
      <name val="Arial"/>
      <family val="2"/>
    </font>
    <font>
      <b/>
      <sz val="11"/>
      <color rgb="FFFFFFFF"/>
      <name val="Calibri"/>
      <family val="2"/>
    </font>
    <font>
      <sz val="11"/>
      <color rgb="FF0000FF"/>
      <name val="Calibri"/>
      <family val="2"/>
    </font>
    <font>
      <i/>
      <sz val="11"/>
      <color rgb="FF0000FF"/>
      <name val="Calibri"/>
      <family val="2"/>
    </font>
    <font>
      <b/>
      <sz val="11"/>
      <color rgb="FF00CCFF"/>
      <name val="Calibri"/>
      <family val="2"/>
    </font>
    <font>
      <b/>
      <sz val="12"/>
      <color rgb="FFFF0000"/>
      <name val="Calibri"/>
      <family val="2"/>
    </font>
    <font>
      <b/>
      <i/>
      <sz val="11"/>
      <color rgb="FFFFFFFF"/>
      <name val="Calibri"/>
      <family val="2"/>
    </font>
    <font>
      <sz val="11"/>
      <color rgb="FFFFFFFF"/>
      <name val="Calibri"/>
      <family val="2"/>
    </font>
    <font>
      <b/>
      <sz val="8"/>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47"/>
        <bgColor indexed="64"/>
      </patternFill>
    </fill>
    <fill>
      <patternFill patternType="solid">
        <fgColor indexed="31"/>
        <bgColor indexed="64"/>
      </patternFill>
    </fill>
    <fill>
      <patternFill patternType="solid">
        <fgColor indexed="42"/>
        <bgColor indexed="64"/>
      </patternFill>
    </fill>
    <fill>
      <patternFill patternType="solid">
        <fgColor indexed="25"/>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rgb="FFFFC7CE"/>
        <bgColor indexed="64"/>
      </patternFill>
    </fill>
    <fill>
      <patternFill patternType="solid">
        <fgColor rgb="FFC6EFCE"/>
        <bgColor indexed="64"/>
      </patternFill>
    </fill>
    <fill>
      <patternFill patternType="solid">
        <fgColor indexed="51"/>
        <bgColor indexed="64"/>
      </patternFill>
    </fill>
    <fill>
      <patternFill patternType="solid">
        <fgColor theme="0" tint="-0.24997000396251678"/>
        <bgColor indexed="64"/>
      </patternFill>
    </fill>
    <fill>
      <patternFill patternType="solid">
        <fgColor rgb="FF0070C0"/>
        <bgColor indexed="64"/>
      </patternFill>
    </fill>
    <fill>
      <patternFill patternType="solid">
        <fgColor rgb="FFBFBFBF"/>
        <bgColor indexed="64"/>
      </patternFill>
    </fill>
    <fill>
      <patternFill patternType="solid">
        <fgColor rgb="FFFFFFFF"/>
        <bgColor indexed="64"/>
      </patternFill>
    </fill>
    <fill>
      <patternFill patternType="solid">
        <fgColor rgb="FFFFCC00"/>
        <bgColor indexed="64"/>
      </patternFill>
    </fill>
    <fill>
      <patternFill patternType="solid">
        <fgColor rgb="FFA6A6A6"/>
        <bgColor indexed="64"/>
      </patternFill>
    </fill>
    <fill>
      <patternFill patternType="solid">
        <fgColor rgb="FF0070C0"/>
        <bgColor indexed="64"/>
      </patternFill>
    </fill>
  </fills>
  <borders count="62">
    <border>
      <left/>
      <right/>
      <top/>
      <bottom/>
      <diagonal/>
    </border>
    <border>
      <left>
        <color indexed="63"/>
      </left>
      <right>
        <color indexed="63"/>
      </right>
      <top style="thin"/>
      <bottom>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color indexed="63"/>
      </left>
      <right style="double"/>
      <top>
        <color indexed="63"/>
      </top>
      <bottom>
        <color indexed="6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48"/>
      </left>
      <right style="thin">
        <color indexed="48"/>
      </right>
      <top style="thin">
        <color indexed="48"/>
      </top>
      <bottom style="thin">
        <color indexed="48"/>
      </bottom>
    </border>
    <border>
      <left>
        <color indexed="63"/>
      </left>
      <right>
        <color indexed="63"/>
      </right>
      <top style="thin"/>
      <bottom style="thin"/>
    </border>
    <border>
      <left style="thin"/>
      <right style="thin"/>
      <top style="thin"/>
      <bottom style="thin"/>
    </border>
    <border>
      <left>
        <color indexed="63"/>
      </left>
      <right>
        <color indexed="63"/>
      </right>
      <top style="medium"/>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medium"/>
      <right style="thin"/>
      <top style="medium"/>
      <bottom/>
    </border>
    <border>
      <left style="medium"/>
      <right style="medium"/>
      <top style="medium"/>
      <bottom/>
    </border>
    <border>
      <left>
        <color indexed="63"/>
      </left>
      <right>
        <color indexed="63"/>
      </right>
      <top style="medium"/>
      <bottom>
        <color indexed="63"/>
      </bottom>
    </border>
    <border>
      <left>
        <color indexed="63"/>
      </left>
      <right style="medium"/>
      <top style="medium"/>
      <bottom>
        <color indexed="63"/>
      </bottom>
    </border>
    <border>
      <left style="medium"/>
      <right style="medium"/>
      <top/>
      <bottom/>
    </border>
    <border>
      <left>
        <color indexed="63"/>
      </left>
      <right style="medium"/>
      <top>
        <color indexed="63"/>
      </top>
      <bottom>
        <color indexed="63"/>
      </bottom>
    </border>
    <border>
      <left>
        <color indexed="63"/>
      </left>
      <right style="medium"/>
      <top style="thin"/>
      <bottom style="thin"/>
    </border>
    <border>
      <left style="double"/>
      <right style="double"/>
      <top style="double"/>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bottom style="medium"/>
    </border>
    <border>
      <left style="thin"/>
      <right style="thin"/>
      <top style="medium"/>
      <bottom/>
    </border>
    <border>
      <left style="medium"/>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top style="medium"/>
      <bottom/>
    </border>
    <border>
      <left style="thin"/>
      <right style="medium"/>
      <top style="medium"/>
      <bottom/>
    </border>
    <border>
      <left style="medium"/>
      <right style="thin"/>
      <top/>
      <bottom/>
    </border>
    <border>
      <left style="thin"/>
      <right style="medium"/>
      <top/>
      <bottom/>
    </border>
    <border>
      <left style="medium"/>
      <right style="thin"/>
      <top/>
      <bottom style="thin"/>
    </border>
    <border>
      <left style="thin"/>
      <right style="medium"/>
      <top/>
      <bottom style="thin"/>
    </border>
    <border>
      <left style="medium"/>
      <right>
        <color indexed="63"/>
      </right>
      <top style="thin"/>
      <bottom style="thin"/>
    </border>
    <border>
      <left style="medium"/>
      <right style="medium"/>
      <top/>
      <bottom style="thin"/>
    </border>
    <border>
      <left style="medium"/>
      <right/>
      <top/>
      <bottom style="medium"/>
    </border>
    <border>
      <left style="medium"/>
      <right style="medium"/>
      <top style="medium"/>
      <bottom style="medium"/>
    </border>
    <border>
      <left style="medium"/>
      <right style="thin"/>
      <top/>
      <bottom style="medium"/>
    </border>
    <border>
      <left style="thin"/>
      <right style="thin"/>
      <top/>
      <bottom style="medium"/>
    </border>
    <border>
      <left style="thin"/>
      <right style="medium"/>
      <top/>
      <bottom style="medium"/>
    </border>
    <border>
      <left/>
      <right style="medium"/>
      <top/>
      <bottom style="medium"/>
    </border>
    <border>
      <left style="double"/>
      <right/>
      <top style="double"/>
      <bottom style="double"/>
    </border>
    <border>
      <left/>
      <right/>
      <top/>
      <bottom style="medium"/>
    </border>
    <border>
      <left style="medium"/>
      <right/>
      <top/>
      <bottom style="thin"/>
    </border>
    <border>
      <left/>
      <right style="medium"/>
      <top/>
      <bottom style="thin"/>
    </border>
  </borders>
  <cellStyleXfs count="1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0" fillId="0" borderId="0">
      <alignment/>
      <protection/>
    </xf>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11" fillId="0" borderId="0">
      <alignment/>
      <protection/>
    </xf>
    <xf numFmtId="171" fontId="0" fillId="0" borderId="0">
      <alignment/>
      <protection locked="0"/>
    </xf>
    <xf numFmtId="171" fontId="15" fillId="0" borderId="1" applyNumberFormat="0" applyFont="0" applyFill="0" applyBorder="0" applyAlignment="0">
      <protection/>
    </xf>
    <xf numFmtId="172" fontId="11" fillId="0" borderId="0">
      <alignment/>
      <protection/>
    </xf>
    <xf numFmtId="173" fontId="11" fillId="0" borderId="0">
      <alignment/>
      <protection/>
    </xf>
    <xf numFmtId="174" fontId="11" fillId="0" borderId="0">
      <alignment/>
      <protection/>
    </xf>
    <xf numFmtId="175" fontId="11" fillId="0" borderId="1">
      <alignment/>
      <protection/>
    </xf>
    <xf numFmtId="173" fontId="11" fillId="0" borderId="1">
      <alignment/>
      <protection/>
    </xf>
    <xf numFmtId="174" fontId="11" fillId="0" borderId="1">
      <alignment/>
      <protection/>
    </xf>
    <xf numFmtId="176" fontId="11" fillId="0" borderId="0">
      <alignment horizontal="center"/>
      <protection/>
    </xf>
    <xf numFmtId="177" fontId="11" fillId="0" borderId="0">
      <alignment/>
      <protection/>
    </xf>
    <xf numFmtId="178" fontId="11" fillId="0" borderId="0">
      <alignment/>
      <protection/>
    </xf>
    <xf numFmtId="179" fontId="11" fillId="0" borderId="0">
      <alignment/>
      <protection/>
    </xf>
    <xf numFmtId="177" fontId="11" fillId="0" borderId="1">
      <alignment/>
      <protection/>
    </xf>
    <xf numFmtId="178" fontId="11" fillId="0" borderId="1">
      <alignment/>
      <protection/>
    </xf>
    <xf numFmtId="179" fontId="11" fillId="0" borderId="1">
      <alignment/>
      <protection/>
    </xf>
    <xf numFmtId="180" fontId="11" fillId="0" borderId="0">
      <alignment horizontal="right"/>
      <protection locked="0"/>
    </xf>
    <xf numFmtId="181" fontId="11" fillId="0" borderId="0">
      <alignment horizontal="right"/>
      <protection locked="0"/>
    </xf>
    <xf numFmtId="182" fontId="11" fillId="0" borderId="0">
      <alignment/>
      <protection/>
    </xf>
    <xf numFmtId="183" fontId="11" fillId="0" borderId="0">
      <alignment/>
      <protection/>
    </xf>
    <xf numFmtId="184" fontId="11" fillId="0" borderId="0">
      <alignment/>
      <protection/>
    </xf>
    <xf numFmtId="182" fontId="11" fillId="0" borderId="1">
      <alignment/>
      <protection/>
    </xf>
    <xf numFmtId="183" fontId="11" fillId="0" borderId="1">
      <alignment/>
      <protection/>
    </xf>
    <xf numFmtId="184" fontId="11" fillId="0" borderId="1">
      <alignment/>
      <protection/>
    </xf>
    <xf numFmtId="0" fontId="91" fillId="20" borderId="2" applyNumberFormat="0" applyAlignment="0" applyProtection="0"/>
    <xf numFmtId="0" fontId="92" fillId="0" borderId="3" applyNumberFormat="0" applyFill="0" applyAlignment="0" applyProtection="0"/>
    <xf numFmtId="0" fontId="93" fillId="21" borderId="4"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0" fillId="26" borderId="0" applyNumberFormat="0" applyBorder="0" applyAlignment="0" applyProtection="0"/>
    <xf numFmtId="0" fontId="90" fillId="27" borderId="0" applyNumberFormat="0" applyBorder="0" applyAlignment="0" applyProtection="0"/>
    <xf numFmtId="185" fontId="16" fillId="0" borderId="0" applyFont="0" applyFill="0" applyBorder="0" applyAlignment="0" applyProtection="0"/>
    <xf numFmtId="186" fontId="16" fillId="0" borderId="0" applyFont="0" applyFill="0" applyBorder="0" applyAlignment="0" applyProtection="0"/>
    <xf numFmtId="187" fontId="17" fillId="0" borderId="0" applyFont="0" applyFill="0" applyBorder="0" applyAlignment="0" applyProtection="0"/>
    <xf numFmtId="175" fontId="11" fillId="28" borderId="5">
      <alignment/>
      <protection locked="0"/>
    </xf>
    <xf numFmtId="173" fontId="11" fillId="28" borderId="5">
      <alignment/>
      <protection locked="0"/>
    </xf>
    <xf numFmtId="174" fontId="11" fillId="28" borderId="5">
      <alignment/>
      <protection locked="0"/>
    </xf>
    <xf numFmtId="177" fontId="11" fillId="28" borderId="5">
      <alignment/>
      <protection locked="0"/>
    </xf>
    <xf numFmtId="178" fontId="11" fillId="28" borderId="5">
      <alignment/>
      <protection locked="0"/>
    </xf>
    <xf numFmtId="179" fontId="11" fillId="28" borderId="5">
      <alignment/>
      <protection locked="0"/>
    </xf>
    <xf numFmtId="180" fontId="11" fillId="29" borderId="5">
      <alignment horizontal="right"/>
      <protection locked="0"/>
    </xf>
    <xf numFmtId="181" fontId="11" fillId="29" borderId="5">
      <alignment horizontal="right"/>
      <protection locked="0"/>
    </xf>
    <xf numFmtId="0" fontId="11" fillId="30" borderId="5">
      <alignment horizontal="left"/>
      <protection locked="0"/>
    </xf>
    <xf numFmtId="49" fontId="11" fillId="31" borderId="5">
      <alignment horizontal="left" vertical="top" wrapText="1"/>
      <protection locked="0"/>
    </xf>
    <xf numFmtId="182" fontId="11" fillId="28" borderId="5">
      <alignment/>
      <protection locked="0"/>
    </xf>
    <xf numFmtId="183" fontId="11" fillId="28" borderId="5">
      <alignment/>
      <protection locked="0"/>
    </xf>
    <xf numFmtId="184" fontId="11" fillId="28" borderId="5">
      <alignment/>
      <protection locked="0"/>
    </xf>
    <xf numFmtId="49" fontId="11" fillId="31" borderId="5">
      <alignment horizontal="left"/>
      <protection locked="0"/>
    </xf>
    <xf numFmtId="188" fontId="11" fillId="28" borderId="5">
      <alignment horizontal="left" indent="1"/>
      <protection locked="0"/>
    </xf>
    <xf numFmtId="14" fontId="18" fillId="0" borderId="0">
      <alignment horizontal="right"/>
      <protection/>
    </xf>
    <xf numFmtId="189" fontId="0" fillId="0" borderId="0" applyFont="0" applyFill="0" applyBorder="0" applyAlignment="0" applyProtection="0"/>
    <xf numFmtId="190"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192" fontId="9" fillId="0" borderId="0">
      <alignment/>
      <protection/>
    </xf>
    <xf numFmtId="22" fontId="0" fillId="0" borderId="0">
      <alignment/>
      <protection/>
    </xf>
    <xf numFmtId="20" fontId="0" fillId="0" borderId="0">
      <alignment/>
      <protection/>
    </xf>
    <xf numFmtId="0" fontId="19" fillId="32" borderId="0">
      <alignment vertical="center"/>
      <protection/>
    </xf>
    <xf numFmtId="0" fontId="20" fillId="33" borderId="0">
      <alignment vertical="center"/>
      <protection/>
    </xf>
    <xf numFmtId="0" fontId="12" fillId="0" borderId="0">
      <alignment/>
      <protection/>
    </xf>
    <xf numFmtId="193" fontId="21" fillId="0" borderId="0">
      <alignment/>
      <protection/>
    </xf>
    <xf numFmtId="194"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7" fontId="0" fillId="0" borderId="0">
      <alignment/>
      <protection/>
    </xf>
    <xf numFmtId="198" fontId="0" fillId="0" borderId="0" applyFont="0" applyFill="0" applyBorder="0" applyAlignment="0" applyProtection="0"/>
    <xf numFmtId="199" fontId="0" fillId="0" borderId="0" applyFont="0" applyFill="0" applyBorder="0" applyAlignment="0" applyProtection="0"/>
    <xf numFmtId="0" fontId="11" fillId="0" borderId="0">
      <alignment/>
      <protection/>
    </xf>
    <xf numFmtId="0" fontId="23" fillId="0" borderId="0">
      <alignment/>
      <protection/>
    </xf>
    <xf numFmtId="0" fontId="24" fillId="0" borderId="0">
      <alignment horizontal="center"/>
      <protection/>
    </xf>
    <xf numFmtId="193" fontId="22" fillId="0" borderId="0">
      <alignment/>
      <protection/>
    </xf>
    <xf numFmtId="43" fontId="0" fillId="0" borderId="0" applyFont="0" applyFill="0" applyBorder="0" applyAlignment="0" applyProtection="0"/>
    <xf numFmtId="200" fontId="25" fillId="0" borderId="0" applyFont="0" applyFill="0" applyBorder="0" applyAlignment="0" applyProtection="0"/>
    <xf numFmtId="171" fontId="0" fillId="0" borderId="0" applyFont="0" applyFill="0" applyBorder="0" applyAlignment="0" applyProtection="0"/>
    <xf numFmtId="201" fontId="0" fillId="0" borderId="0" applyFont="0" applyFill="0" applyBorder="0" applyAlignment="0" applyProtection="0"/>
    <xf numFmtId="202"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71" fontId="0" fillId="0" borderId="6" applyFont="0" applyFill="0" applyBorder="0" applyAlignment="0" applyProtection="0"/>
    <xf numFmtId="0" fontId="94" fillId="34" borderId="0" applyNumberFormat="0" applyBorder="0" applyAlignment="0" applyProtection="0"/>
    <xf numFmtId="3" fontId="18" fillId="0" borderId="0" applyFont="0" applyFill="0" applyBorder="0" applyAlignment="0" applyProtection="0"/>
    <xf numFmtId="0" fontId="0" fillId="0" borderId="0">
      <alignment/>
      <protection/>
    </xf>
    <xf numFmtId="0" fontId="0" fillId="0" borderId="0">
      <alignment/>
      <protection/>
    </xf>
    <xf numFmtId="0" fontId="13" fillId="0" borderId="0">
      <alignment/>
      <protection/>
    </xf>
    <xf numFmtId="0" fontId="0" fillId="35" borderId="7" applyNumberFormat="0" applyFont="0" applyAlignment="0" applyProtection="0"/>
    <xf numFmtId="203" fontId="0" fillId="0" borderId="0">
      <alignment/>
      <protection/>
    </xf>
    <xf numFmtId="166" fontId="26" fillId="0" borderId="0" applyFont="0" applyFill="0" applyBorder="0" applyAlignment="0" applyProtection="0"/>
    <xf numFmtId="0" fontId="95" fillId="20" borderId="8" applyNumberFormat="0" applyAlignment="0" applyProtection="0"/>
    <xf numFmtId="9" fontId="16" fillId="0" borderId="0" applyFont="0" applyFill="0" applyBorder="0" applyAlignment="0" applyProtection="0"/>
    <xf numFmtId="165" fontId="16" fillId="0" borderId="0" applyFont="0" applyFill="0" applyBorder="0" applyAlignment="0" applyProtection="0"/>
    <xf numFmtId="10" fontId="16" fillId="0" borderId="0" applyFont="0" applyFill="0" applyBorder="0" applyAlignment="0" applyProtection="0"/>
    <xf numFmtId="10" fontId="17" fillId="0" borderId="0" applyFont="0" applyFill="0" applyBorder="0" applyAlignment="0" applyProtection="0"/>
    <xf numFmtId="9"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4" fontId="27" fillId="36" borderId="9" applyNumberFormat="0" applyProtection="0">
      <alignment horizontal="left" vertical="center" indent="1"/>
    </xf>
    <xf numFmtId="0" fontId="0" fillId="0" borderId="0" applyNumberFormat="0" applyFont="0" applyFill="0" applyBorder="0" applyAlignment="0">
      <protection locked="0"/>
    </xf>
    <xf numFmtId="193" fontId="28" fillId="0" borderId="0">
      <alignment/>
      <protection/>
    </xf>
    <xf numFmtId="0" fontId="29" fillId="0" borderId="0">
      <alignment/>
      <protection/>
    </xf>
    <xf numFmtId="0" fontId="6" fillId="0" borderId="10" applyNumberFormat="0" applyAlignment="0" applyProtection="0"/>
    <xf numFmtId="204" fontId="0" fillId="0" borderId="0">
      <alignment horizontal="left"/>
      <protection/>
    </xf>
    <xf numFmtId="0" fontId="30" fillId="33" borderId="11">
      <alignment/>
      <protection locked="0"/>
    </xf>
    <xf numFmtId="0" fontId="96" fillId="0" borderId="0" applyNumberFormat="0" applyFill="0" applyBorder="0" applyAlignment="0" applyProtection="0"/>
    <xf numFmtId="0" fontId="97" fillId="0" borderId="0" applyNumberFormat="0" applyFill="0" applyBorder="0" applyAlignment="0" applyProtection="0"/>
    <xf numFmtId="0" fontId="31" fillId="0" borderId="0">
      <alignment horizontal="center"/>
      <protection/>
    </xf>
    <xf numFmtId="15" fontId="31" fillId="0" borderId="0">
      <alignment horizontal="center"/>
      <protection/>
    </xf>
    <xf numFmtId="0" fontId="1" fillId="0" borderId="12" applyNumberFormat="0" applyAlignment="0" applyProtection="0"/>
    <xf numFmtId="0" fontId="32" fillId="33" borderId="0">
      <alignment/>
      <protection/>
    </xf>
    <xf numFmtId="0" fontId="33" fillId="0" borderId="0">
      <alignment/>
      <protection/>
    </xf>
    <xf numFmtId="0" fontId="98" fillId="0" borderId="0" applyNumberFormat="0" applyFill="0" applyBorder="0" applyAlignment="0" applyProtection="0"/>
    <xf numFmtId="0" fontId="99" fillId="0" borderId="13" applyNumberFormat="0" applyFill="0" applyAlignment="0" applyProtection="0"/>
    <xf numFmtId="0" fontId="100" fillId="0" borderId="14" applyNumberFormat="0" applyFill="0" applyAlignment="0" applyProtection="0"/>
    <xf numFmtId="0" fontId="101" fillId="0" borderId="15" applyNumberFormat="0" applyFill="0" applyAlignment="0" applyProtection="0"/>
    <xf numFmtId="0" fontId="101" fillId="0" borderId="0" applyNumberFormat="0" applyFill="0" applyBorder="0" applyAlignment="0" applyProtection="0"/>
    <xf numFmtId="0" fontId="102" fillId="0" borderId="16" applyNumberFormat="0" applyFill="0" applyAlignment="0" applyProtection="0"/>
    <xf numFmtId="0" fontId="103" fillId="37" borderId="0" applyNumberFormat="0" applyBorder="0" applyAlignment="0" applyProtection="0"/>
    <xf numFmtId="0" fontId="104" fillId="38" borderId="0" applyNumberFormat="0" applyBorder="0" applyAlignment="0" applyProtection="0"/>
    <xf numFmtId="44" fontId="0" fillId="0" borderId="0" applyFont="0" applyFill="0" applyBorder="0" applyAlignment="0" applyProtection="0"/>
    <xf numFmtId="205" fontId="0" fillId="0" borderId="0" applyFont="0" applyFill="0" applyBorder="0" applyAlignment="0" applyProtection="0"/>
    <xf numFmtId="42" fontId="0" fillId="0" borderId="0" applyFont="0" applyFill="0" applyBorder="0" applyAlignment="0" applyProtection="0"/>
  </cellStyleXfs>
  <cellXfs count="841">
    <xf numFmtId="0" fontId="0" fillId="0" borderId="0" xfId="0" applyAlignment="1">
      <alignment/>
    </xf>
    <xf numFmtId="0" fontId="1" fillId="0" borderId="0" xfId="0" applyFont="1" applyAlignment="1">
      <alignment/>
    </xf>
    <xf numFmtId="0" fontId="6" fillId="0" borderId="0" xfId="0" applyFont="1" applyAlignment="1">
      <alignment/>
    </xf>
    <xf numFmtId="0" fontId="0" fillId="0" borderId="0" xfId="0" applyFont="1" applyFill="1" applyAlignment="1">
      <alignment/>
    </xf>
    <xf numFmtId="0" fontId="1" fillId="0" borderId="0" xfId="0" applyFont="1" applyFill="1" applyAlignment="1">
      <alignment/>
    </xf>
    <xf numFmtId="3" fontId="4" fillId="0" borderId="0" xfId="0" applyNumberFormat="1" applyFont="1" applyAlignment="1">
      <alignment/>
    </xf>
    <xf numFmtId="3" fontId="1" fillId="0" borderId="0" xfId="0" applyNumberFormat="1" applyFont="1" applyAlignment="1">
      <alignment/>
    </xf>
    <xf numFmtId="3" fontId="4" fillId="0" borderId="0" xfId="0" applyNumberFormat="1" applyFont="1" applyFill="1" applyAlignment="1">
      <alignment/>
    </xf>
    <xf numFmtId="3" fontId="6" fillId="0" borderId="0" xfId="0" applyNumberFormat="1" applyFont="1" applyAlignment="1">
      <alignment/>
    </xf>
    <xf numFmtId="3" fontId="0" fillId="0" borderId="0" xfId="0" applyNumberFormat="1" applyFont="1" applyAlignment="1">
      <alignment/>
    </xf>
    <xf numFmtId="3" fontId="0" fillId="0" borderId="0" xfId="0" applyNumberFormat="1" applyFont="1" applyFill="1" applyAlignment="1">
      <alignment/>
    </xf>
    <xf numFmtId="3" fontId="1" fillId="0" borderId="0" xfId="0" applyNumberFormat="1" applyFont="1" applyFill="1" applyAlignment="1">
      <alignment/>
    </xf>
    <xf numFmtId="3" fontId="0" fillId="0" borderId="0" xfId="0" applyNumberFormat="1" applyFont="1" applyFill="1" applyAlignment="1">
      <alignment horizontal="left"/>
    </xf>
    <xf numFmtId="0" fontId="0" fillId="0" borderId="0" xfId="0" applyFont="1" applyAlignment="1">
      <alignment/>
    </xf>
    <xf numFmtId="0" fontId="4" fillId="0" borderId="0" xfId="0" applyNumberFormat="1" applyFont="1" applyFill="1" applyAlignment="1">
      <alignment/>
    </xf>
    <xf numFmtId="0" fontId="0" fillId="0" borderId="0" xfId="0" applyFont="1" applyFill="1" applyAlignment="1">
      <alignment vertical="center"/>
    </xf>
    <xf numFmtId="0" fontId="7" fillId="0" borderId="0" xfId="0" applyFont="1" applyAlignment="1">
      <alignment/>
    </xf>
    <xf numFmtId="0" fontId="10" fillId="0" borderId="0" xfId="0" applyFont="1" applyAlignment="1">
      <alignment/>
    </xf>
    <xf numFmtId="3" fontId="10" fillId="0" borderId="0" xfId="0" applyNumberFormat="1" applyFont="1" applyAlignment="1">
      <alignment/>
    </xf>
    <xf numFmtId="0" fontId="0" fillId="0" borderId="0" xfId="0" applyFont="1" applyBorder="1" applyAlignment="1">
      <alignment/>
    </xf>
    <xf numFmtId="3" fontId="10" fillId="0" borderId="0" xfId="0" applyNumberFormat="1" applyFont="1" applyFill="1" applyBorder="1" applyAlignment="1">
      <alignment/>
    </xf>
    <xf numFmtId="3" fontId="14" fillId="0" borderId="0" xfId="0" applyNumberFormat="1" applyFont="1" applyFill="1" applyAlignment="1">
      <alignment/>
    </xf>
    <xf numFmtId="0" fontId="10" fillId="0" borderId="0" xfId="0" applyFont="1" applyFill="1" applyAlignment="1">
      <alignment vertical="center"/>
    </xf>
    <xf numFmtId="3" fontId="10" fillId="0" borderId="0" xfId="0" applyNumberFormat="1" applyFont="1" applyFill="1" applyAlignment="1">
      <alignment/>
    </xf>
    <xf numFmtId="3" fontId="6" fillId="0" borderId="0" xfId="0" applyNumberFormat="1" applyFont="1" applyFill="1" applyBorder="1" applyAlignment="1">
      <alignment/>
    </xf>
    <xf numFmtId="3" fontId="1" fillId="0" borderId="0" xfId="109" applyNumberFormat="1" applyFont="1" applyFill="1" applyBorder="1" applyAlignment="1">
      <alignment/>
    </xf>
    <xf numFmtId="3" fontId="0" fillId="0" borderId="0" xfId="0" applyNumberFormat="1" applyFont="1" applyFill="1" applyBorder="1" applyAlignment="1">
      <alignment/>
    </xf>
    <xf numFmtId="3" fontId="0" fillId="0" borderId="0" xfId="0" applyNumberFormat="1" applyFont="1" applyAlignment="1">
      <alignment/>
    </xf>
    <xf numFmtId="3" fontId="34" fillId="0" borderId="0" xfId="0" applyNumberFormat="1" applyFont="1" applyAlignment="1">
      <alignment/>
    </xf>
    <xf numFmtId="3" fontId="0" fillId="0" borderId="0" xfId="0" applyNumberFormat="1" applyFont="1" applyAlignment="1">
      <alignment/>
    </xf>
    <xf numFmtId="3" fontId="0" fillId="0" borderId="0" xfId="0" applyNumberFormat="1" applyFont="1" applyFill="1" applyAlignment="1">
      <alignment/>
    </xf>
    <xf numFmtId="3" fontId="4" fillId="0" borderId="0" xfId="0" applyNumberFormat="1" applyFont="1" applyAlignment="1">
      <alignment/>
    </xf>
    <xf numFmtId="3" fontId="1" fillId="0" borderId="0" xfId="0" applyNumberFormat="1" applyFont="1" applyAlignment="1">
      <alignment/>
    </xf>
    <xf numFmtId="0" fontId="0" fillId="0" borderId="0" xfId="0" applyNumberFormat="1" applyFont="1" applyAlignment="1">
      <alignment vertical="center"/>
    </xf>
    <xf numFmtId="3" fontId="4" fillId="0" borderId="0" xfId="0" applyNumberFormat="1" applyFont="1" applyFill="1" applyAlignment="1">
      <alignment/>
    </xf>
    <xf numFmtId="3" fontId="0" fillId="0" borderId="0" xfId="0" applyNumberFormat="1" applyFont="1" applyFill="1" applyAlignment="1">
      <alignment/>
    </xf>
    <xf numFmtId="3" fontId="0" fillId="0" borderId="0" xfId="0" applyNumberFormat="1" applyFont="1" applyFill="1" applyAlignment="1">
      <alignment/>
    </xf>
    <xf numFmtId="3" fontId="0" fillId="0" borderId="0" xfId="0" applyNumberFormat="1" applyFont="1" applyFill="1" applyAlignment="1">
      <alignment/>
    </xf>
    <xf numFmtId="3" fontId="1" fillId="0" borderId="0" xfId="0" applyNumberFormat="1" applyFont="1" applyFill="1" applyAlignment="1">
      <alignment/>
    </xf>
    <xf numFmtId="0" fontId="0" fillId="0" borderId="0" xfId="0" applyNumberFormat="1" applyFont="1" applyBorder="1" applyAlignment="1">
      <alignment vertical="center"/>
    </xf>
    <xf numFmtId="3" fontId="1" fillId="0" borderId="0" xfId="0" applyNumberFormat="1" applyFont="1" applyFill="1" applyBorder="1" applyAlignment="1">
      <alignment/>
    </xf>
    <xf numFmtId="3" fontId="0" fillId="0" borderId="0" xfId="0" applyNumberFormat="1" applyFont="1" applyFill="1" applyBorder="1" applyAlignment="1">
      <alignment/>
    </xf>
    <xf numFmtId="3" fontId="0" fillId="0" borderId="0" xfId="0" applyNumberFormat="1" applyFont="1" applyFill="1" applyAlignment="1" quotePrefix="1">
      <alignment/>
    </xf>
    <xf numFmtId="0" fontId="0" fillId="0" borderId="0" xfId="0" applyNumberFormat="1" applyFont="1" applyAlignment="1">
      <alignment vertical="center"/>
    </xf>
    <xf numFmtId="0" fontId="0" fillId="0" borderId="0" xfId="0" applyNumberFormat="1" applyFont="1" applyFill="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Fill="1" applyBorder="1" applyAlignment="1">
      <alignment/>
    </xf>
    <xf numFmtId="0" fontId="4" fillId="0" borderId="0" xfId="0" applyFont="1" applyFill="1" applyBorder="1" applyAlignment="1">
      <alignment/>
    </xf>
    <xf numFmtId="3" fontId="4" fillId="0" borderId="0" xfId="0" applyNumberFormat="1" applyFont="1" applyFill="1" applyBorder="1" applyAlignment="1">
      <alignment/>
    </xf>
    <xf numFmtId="0" fontId="0" fillId="0" borderId="0" xfId="0" applyFont="1" applyFill="1" applyBorder="1" applyAlignment="1">
      <alignment/>
    </xf>
    <xf numFmtId="16" fontId="0" fillId="0" borderId="0" xfId="0" applyNumberFormat="1" applyFont="1" applyFill="1" applyBorder="1" applyAlignment="1">
      <alignment/>
    </xf>
    <xf numFmtId="167" fontId="1" fillId="0" borderId="0" xfId="0" applyNumberFormat="1" applyFont="1" applyFill="1" applyBorder="1" applyAlignment="1">
      <alignment horizontal="center" vertical="center"/>
    </xf>
    <xf numFmtId="3" fontId="10" fillId="0" borderId="0" xfId="0" applyNumberFormat="1" applyFont="1" applyFill="1" applyBorder="1" applyAlignment="1">
      <alignment/>
    </xf>
    <xf numFmtId="0" fontId="6" fillId="0" borderId="0" xfId="0" applyFont="1" applyFill="1" applyBorder="1" applyAlignment="1">
      <alignment/>
    </xf>
    <xf numFmtId="3" fontId="6" fillId="0" borderId="0" xfId="0" applyNumberFormat="1" applyFont="1" applyFill="1" applyBorder="1" applyAlignment="1">
      <alignment/>
    </xf>
    <xf numFmtId="3" fontId="6" fillId="0" borderId="0" xfId="109" applyNumberFormat="1" applyFont="1" applyFill="1" applyBorder="1" applyAlignment="1">
      <alignment/>
    </xf>
    <xf numFmtId="3" fontId="1" fillId="0" borderId="0" xfId="109"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3" fontId="6" fillId="0" borderId="0" xfId="109" applyNumberFormat="1" applyFont="1" applyFill="1" applyBorder="1" applyAlignment="1">
      <alignment vertical="center"/>
    </xf>
    <xf numFmtId="3" fontId="10" fillId="0" borderId="0" xfId="109" applyNumberFormat="1" applyFont="1" applyFill="1" applyBorder="1" applyAlignment="1">
      <alignment/>
    </xf>
    <xf numFmtId="0" fontId="6" fillId="0" borderId="0" xfId="0" applyFont="1" applyFill="1" applyBorder="1" applyAlignment="1">
      <alignment vertical="center"/>
    </xf>
    <xf numFmtId="3" fontId="0" fillId="0" borderId="0" xfId="109" applyNumberFormat="1" applyFont="1" applyFill="1" applyBorder="1" applyAlignment="1">
      <alignment/>
    </xf>
    <xf numFmtId="3" fontId="1" fillId="0" borderId="0" xfId="109" applyNumberFormat="1" applyFont="1" applyFill="1" applyBorder="1" applyAlignment="1">
      <alignment vertical="center"/>
    </xf>
    <xf numFmtId="0" fontId="0" fillId="0" borderId="0" xfId="0" applyFont="1" applyFill="1" applyBorder="1" applyAlignment="1">
      <alignment vertical="center"/>
    </xf>
    <xf numFmtId="3" fontId="0" fillId="0" borderId="0" xfId="109" applyNumberFormat="1" applyFont="1" applyFill="1" applyBorder="1" applyAlignment="1">
      <alignment vertical="center"/>
    </xf>
    <xf numFmtId="0" fontId="0" fillId="0" borderId="0" xfId="0" applyFont="1" applyFill="1" applyBorder="1" applyAlignment="1">
      <alignment vertical="center"/>
    </xf>
    <xf numFmtId="3" fontId="0" fillId="0" borderId="0" xfId="0" applyNumberFormat="1" applyFont="1" applyFill="1" applyBorder="1" applyAlignment="1">
      <alignment/>
    </xf>
    <xf numFmtId="164" fontId="0" fillId="0" borderId="0" xfId="109" applyNumberFormat="1" applyFont="1" applyFill="1" applyBorder="1" applyAlignment="1">
      <alignment/>
    </xf>
    <xf numFmtId="0" fontId="0" fillId="0" borderId="0" xfId="0" applyFont="1" applyBorder="1" applyAlignment="1">
      <alignment/>
    </xf>
    <xf numFmtId="3" fontId="0" fillId="0" borderId="0" xfId="0" applyNumberFormat="1" applyFont="1" applyFill="1" applyBorder="1" applyAlignment="1">
      <alignment horizontal="right"/>
    </xf>
    <xf numFmtId="3" fontId="8" fillId="0" borderId="0" xfId="0" applyNumberFormat="1" applyFont="1" applyFill="1" applyBorder="1" applyAlignment="1">
      <alignment horizontal="right"/>
    </xf>
    <xf numFmtId="3" fontId="0" fillId="0" borderId="17" xfId="0" applyNumberFormat="1" applyFont="1" applyBorder="1" applyAlignment="1">
      <alignment/>
    </xf>
    <xf numFmtId="3" fontId="8" fillId="0" borderId="0" xfId="0" applyNumberFormat="1" applyFont="1" applyFill="1" applyBorder="1" applyAlignment="1">
      <alignment/>
    </xf>
    <xf numFmtId="3" fontId="8" fillId="0" borderId="0" xfId="0" applyNumberFormat="1" applyFont="1" applyBorder="1" applyAlignment="1">
      <alignment/>
    </xf>
    <xf numFmtId="3" fontId="8" fillId="0" borderId="18" xfId="0" applyNumberFormat="1" applyFont="1" applyBorder="1" applyAlignment="1">
      <alignment/>
    </xf>
    <xf numFmtId="3" fontId="1" fillId="33" borderId="17" xfId="0" applyNumberFormat="1" applyFont="1" applyFill="1" applyBorder="1" applyAlignment="1">
      <alignment/>
    </xf>
    <xf numFmtId="3" fontId="1" fillId="33" borderId="0" xfId="0" applyNumberFormat="1" applyFont="1" applyFill="1" applyBorder="1" applyAlignment="1">
      <alignment/>
    </xf>
    <xf numFmtId="3" fontId="1" fillId="33" borderId="18" xfId="0" applyNumberFormat="1" applyFont="1" applyFill="1" applyBorder="1" applyAlignment="1">
      <alignment/>
    </xf>
    <xf numFmtId="3" fontId="0" fillId="0" borderId="0" xfId="0" applyNumberFormat="1" applyFont="1" applyBorder="1" applyAlignment="1">
      <alignment/>
    </xf>
    <xf numFmtId="3" fontId="0" fillId="0" borderId="18" xfId="0" applyNumberFormat="1" applyFont="1" applyBorder="1" applyAlignment="1">
      <alignment/>
    </xf>
    <xf numFmtId="3" fontId="0" fillId="0" borderId="17" xfId="0" applyNumberFormat="1" applyFont="1" applyFill="1" applyBorder="1" applyAlignment="1">
      <alignment/>
    </xf>
    <xf numFmtId="3" fontId="0" fillId="0" borderId="18" xfId="0" applyNumberFormat="1" applyFont="1" applyFill="1" applyBorder="1" applyAlignment="1">
      <alignment/>
    </xf>
    <xf numFmtId="3" fontId="8" fillId="0" borderId="18" xfId="0" applyNumberFormat="1" applyFont="1" applyFill="1" applyBorder="1" applyAlignment="1">
      <alignment/>
    </xf>
    <xf numFmtId="3" fontId="1" fillId="33" borderId="19" xfId="0" applyNumberFormat="1" applyFont="1" applyFill="1" applyBorder="1" applyAlignment="1">
      <alignment/>
    </xf>
    <xf numFmtId="3" fontId="1" fillId="33" borderId="20" xfId="0" applyNumberFormat="1" applyFont="1" applyFill="1" applyBorder="1" applyAlignment="1">
      <alignment/>
    </xf>
    <xf numFmtId="3" fontId="10" fillId="0" borderId="20" xfId="0" applyNumberFormat="1" applyFont="1" applyFill="1" applyBorder="1" applyAlignment="1">
      <alignment/>
    </xf>
    <xf numFmtId="3" fontId="1" fillId="0" borderId="17" xfId="0" applyNumberFormat="1" applyFont="1" applyFill="1" applyBorder="1" applyAlignment="1">
      <alignment horizontal="center"/>
    </xf>
    <xf numFmtId="3" fontId="1" fillId="0" borderId="0" xfId="0" applyNumberFormat="1" applyFont="1" applyFill="1" applyBorder="1" applyAlignment="1">
      <alignment horizontal="center"/>
    </xf>
    <xf numFmtId="3" fontId="1" fillId="0" borderId="17" xfId="0" applyNumberFormat="1" applyFont="1" applyFill="1" applyBorder="1" applyAlignment="1">
      <alignment/>
    </xf>
    <xf numFmtId="3" fontId="1" fillId="0" borderId="18" xfId="0" applyNumberFormat="1" applyFont="1" applyFill="1" applyBorder="1" applyAlignment="1">
      <alignment/>
    </xf>
    <xf numFmtId="3" fontId="0" fillId="0" borderId="17" xfId="0" applyNumberFormat="1" applyFont="1" applyFill="1" applyBorder="1" applyAlignment="1">
      <alignment/>
    </xf>
    <xf numFmtId="3" fontId="0" fillId="0" borderId="18" xfId="0" applyNumberFormat="1" applyFont="1" applyFill="1" applyBorder="1" applyAlignment="1">
      <alignment/>
    </xf>
    <xf numFmtId="3" fontId="1" fillId="33" borderId="0" xfId="109" applyNumberFormat="1" applyFont="1" applyFill="1" applyBorder="1" applyAlignment="1">
      <alignment/>
    </xf>
    <xf numFmtId="3" fontId="1" fillId="33" borderId="18" xfId="109" applyNumberFormat="1" applyFont="1" applyFill="1" applyBorder="1" applyAlignment="1">
      <alignment/>
    </xf>
    <xf numFmtId="0" fontId="0" fillId="0" borderId="17" xfId="0" applyFont="1" applyFill="1" applyBorder="1" applyAlignment="1">
      <alignment/>
    </xf>
    <xf numFmtId="3" fontId="8" fillId="0" borderId="0" xfId="109" applyNumberFormat="1" applyFont="1" applyFill="1" applyBorder="1" applyAlignment="1">
      <alignment vertical="center"/>
    </xf>
    <xf numFmtId="0" fontId="0" fillId="0" borderId="0" xfId="0" applyFont="1" applyBorder="1" applyAlignment="1">
      <alignment/>
    </xf>
    <xf numFmtId="0" fontId="0" fillId="0" borderId="17" xfId="0" applyFont="1" applyFill="1" applyBorder="1" applyAlignment="1">
      <alignment/>
    </xf>
    <xf numFmtId="3" fontId="1" fillId="33" borderId="0" xfId="0" applyNumberFormat="1" applyFont="1" applyFill="1" applyBorder="1" applyAlignment="1">
      <alignment horizontal="right"/>
    </xf>
    <xf numFmtId="3" fontId="1" fillId="0" borderId="0" xfId="0" applyNumberFormat="1" applyFont="1" applyFill="1" applyBorder="1" applyAlignment="1">
      <alignment horizontal="right"/>
    </xf>
    <xf numFmtId="3" fontId="1" fillId="33" borderId="18" xfId="0" applyNumberFormat="1" applyFont="1" applyFill="1" applyBorder="1" applyAlignment="1">
      <alignment horizontal="right"/>
    </xf>
    <xf numFmtId="0" fontId="0" fillId="0" borderId="18" xfId="0" applyFont="1" applyFill="1" applyBorder="1" applyAlignment="1">
      <alignment/>
    </xf>
    <xf numFmtId="3" fontId="1" fillId="33" borderId="0" xfId="109" applyNumberFormat="1" applyFont="1" applyFill="1" applyBorder="1" applyAlignment="1">
      <alignment horizontal="right"/>
    </xf>
    <xf numFmtId="3" fontId="1" fillId="33" borderId="18" xfId="109" applyNumberFormat="1" applyFont="1" applyFill="1" applyBorder="1" applyAlignment="1">
      <alignment horizontal="right"/>
    </xf>
    <xf numFmtId="0" fontId="5" fillId="0" borderId="0" xfId="0" applyNumberFormat="1" applyFont="1" applyFill="1" applyBorder="1" applyAlignment="1">
      <alignment horizontal="center" vertical="center" wrapText="1"/>
    </xf>
    <xf numFmtId="3" fontId="1" fillId="0" borderId="18" xfId="0" applyNumberFormat="1" applyFont="1" applyFill="1" applyBorder="1" applyAlignment="1">
      <alignment horizontal="right"/>
    </xf>
    <xf numFmtId="3" fontId="10" fillId="0" borderId="0" xfId="0" applyNumberFormat="1" applyFont="1" applyFill="1" applyBorder="1" applyAlignment="1">
      <alignment horizontal="right"/>
    </xf>
    <xf numFmtId="3" fontId="10" fillId="0" borderId="18" xfId="0" applyNumberFormat="1" applyFont="1" applyFill="1" applyBorder="1" applyAlignment="1">
      <alignment horizontal="right"/>
    </xf>
    <xf numFmtId="0" fontId="0" fillId="0" borderId="18" xfId="0" applyFont="1" applyFill="1" applyBorder="1" applyAlignment="1">
      <alignment/>
    </xf>
    <xf numFmtId="0" fontId="0" fillId="0" borderId="0" xfId="0" applyFont="1" applyBorder="1" applyAlignment="1">
      <alignment/>
    </xf>
    <xf numFmtId="0" fontId="0" fillId="0" borderId="17" xfId="0" applyFont="1" applyBorder="1" applyAlignment="1">
      <alignment/>
    </xf>
    <xf numFmtId="0" fontId="0" fillId="0" borderId="18" xfId="0" applyFont="1" applyFill="1" applyBorder="1" applyAlignment="1">
      <alignment/>
    </xf>
    <xf numFmtId="0" fontId="0" fillId="0" borderId="17" xfId="0" applyFont="1" applyFill="1" applyBorder="1" applyAlignment="1">
      <alignment/>
    </xf>
    <xf numFmtId="0"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xf>
    <xf numFmtId="0" fontId="0" fillId="0" borderId="0" xfId="0" applyFont="1" applyFill="1" applyBorder="1" applyAlignment="1">
      <alignment vertical="center"/>
    </xf>
    <xf numFmtId="0" fontId="10" fillId="0" borderId="0" xfId="0" applyFont="1" applyFill="1" applyBorder="1" applyAlignment="1">
      <alignment vertical="center"/>
    </xf>
    <xf numFmtId="3" fontId="10" fillId="0" borderId="0" xfId="0" applyNumberFormat="1" applyFont="1" applyFill="1" applyBorder="1" applyAlignment="1">
      <alignment vertical="center"/>
    </xf>
    <xf numFmtId="0" fontId="0" fillId="0" borderId="18" xfId="0" applyNumberFormat="1" applyFont="1" applyBorder="1" applyAlignment="1">
      <alignment vertical="center"/>
    </xf>
    <xf numFmtId="0" fontId="5" fillId="0" borderId="18" xfId="0" applyNumberFormat="1" applyFont="1" applyFill="1" applyBorder="1" applyAlignment="1">
      <alignment horizontal="center"/>
    </xf>
    <xf numFmtId="3" fontId="1" fillId="33" borderId="20" xfId="0" applyNumberFormat="1" applyFont="1" applyFill="1" applyBorder="1" applyAlignment="1">
      <alignment vertical="center"/>
    </xf>
    <xf numFmtId="3" fontId="1" fillId="33" borderId="21" xfId="0" applyNumberFormat="1" applyFont="1" applyFill="1" applyBorder="1" applyAlignment="1">
      <alignment vertical="center"/>
    </xf>
    <xf numFmtId="3" fontId="0" fillId="0" borderId="0" xfId="109" applyNumberFormat="1" applyFont="1" applyFill="1" applyBorder="1" applyAlignment="1">
      <alignment horizontal="right"/>
    </xf>
    <xf numFmtId="3" fontId="0" fillId="0" borderId="18" xfId="109" applyNumberFormat="1" applyFont="1" applyFill="1" applyBorder="1" applyAlignment="1">
      <alignment horizontal="right"/>
    </xf>
    <xf numFmtId="0" fontId="1" fillId="0" borderId="0"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3" fontId="0" fillId="0" borderId="0" xfId="109" applyNumberFormat="1" applyFont="1" applyFill="1" applyBorder="1" applyAlignment="1">
      <alignment vertical="center"/>
    </xf>
    <xf numFmtId="3" fontId="0" fillId="0" borderId="18" xfId="109" applyNumberFormat="1" applyFont="1" applyFill="1" applyBorder="1" applyAlignment="1">
      <alignment vertical="center"/>
    </xf>
    <xf numFmtId="3" fontId="10" fillId="0" borderId="0" xfId="109" applyNumberFormat="1" applyFont="1" applyFill="1" applyBorder="1" applyAlignment="1">
      <alignment vertical="center"/>
    </xf>
    <xf numFmtId="3" fontId="10" fillId="0" borderId="18" xfId="109" applyNumberFormat="1" applyFont="1" applyFill="1" applyBorder="1" applyAlignment="1">
      <alignment vertical="center"/>
    </xf>
    <xf numFmtId="0" fontId="1" fillId="0" borderId="0"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0" fillId="0" borderId="18" xfId="0" applyFont="1" applyBorder="1" applyAlignment="1">
      <alignment/>
    </xf>
    <xf numFmtId="3" fontId="0" fillId="0" borderId="0" xfId="0" applyNumberFormat="1" applyFont="1" applyBorder="1" applyAlignment="1">
      <alignment/>
    </xf>
    <xf numFmtId="3" fontId="1" fillId="33" borderId="19" xfId="0" applyNumberFormat="1" applyFont="1" applyFill="1" applyBorder="1" applyAlignment="1">
      <alignment/>
    </xf>
    <xf numFmtId="3" fontId="1" fillId="33" borderId="20" xfId="0" applyNumberFormat="1" applyFont="1" applyFill="1" applyBorder="1" applyAlignment="1">
      <alignment/>
    </xf>
    <xf numFmtId="3" fontId="1" fillId="33" borderId="21" xfId="0" applyNumberFormat="1" applyFont="1" applyFill="1" applyBorder="1" applyAlignment="1">
      <alignment/>
    </xf>
    <xf numFmtId="3" fontId="7" fillId="0" borderId="0" xfId="0" applyNumberFormat="1" applyFont="1" applyAlignment="1">
      <alignment/>
    </xf>
    <xf numFmtId="3" fontId="35" fillId="0" borderId="0" xfId="0" applyNumberFormat="1" applyFont="1" applyAlignment="1">
      <alignment/>
    </xf>
    <xf numFmtId="0" fontId="7" fillId="0" borderId="0" xfId="0" applyFont="1" applyFill="1" applyBorder="1" applyAlignment="1">
      <alignment/>
    </xf>
    <xf numFmtId="0" fontId="0" fillId="0" borderId="0" xfId="0" applyFont="1" applyFill="1" applyBorder="1" applyAlignment="1">
      <alignment horizontal="left"/>
    </xf>
    <xf numFmtId="3" fontId="6" fillId="0" borderId="18" xfId="0" applyNumberFormat="1" applyFont="1" applyFill="1" applyBorder="1" applyAlignment="1">
      <alignment/>
    </xf>
    <xf numFmtId="3" fontId="6" fillId="0" borderId="18" xfId="0" applyNumberFormat="1" applyFont="1" applyFill="1" applyBorder="1" applyAlignment="1">
      <alignment vertical="center"/>
    </xf>
    <xf numFmtId="3" fontId="1" fillId="0" borderId="18" xfId="0" applyNumberFormat="1" applyFont="1" applyFill="1" applyBorder="1" applyAlignment="1">
      <alignment vertical="center"/>
    </xf>
    <xf numFmtId="3" fontId="6" fillId="0" borderId="21" xfId="0" applyNumberFormat="1" applyFont="1" applyFill="1" applyBorder="1" applyAlignment="1">
      <alignment vertical="center"/>
    </xf>
    <xf numFmtId="167" fontId="4" fillId="39" borderId="22" xfId="0" applyNumberFormat="1" applyFont="1" applyFill="1" applyBorder="1" applyAlignment="1">
      <alignment horizontal="center" vertical="center"/>
    </xf>
    <xf numFmtId="167" fontId="0" fillId="0" borderId="23" xfId="0" applyNumberFormat="1" applyFont="1" applyFill="1" applyBorder="1" applyAlignment="1">
      <alignment horizontal="left"/>
    </xf>
    <xf numFmtId="167" fontId="10" fillId="0" borderId="23" xfId="0" applyNumberFormat="1" applyFont="1" applyFill="1" applyBorder="1" applyAlignment="1">
      <alignment horizontal="left"/>
    </xf>
    <xf numFmtId="0" fontId="6" fillId="0" borderId="23" xfId="0" applyFont="1" applyFill="1" applyBorder="1" applyAlignment="1">
      <alignment/>
    </xf>
    <xf numFmtId="0" fontId="0" fillId="0" borderId="23" xfId="0" applyFont="1" applyFill="1" applyBorder="1" applyAlignment="1">
      <alignment/>
    </xf>
    <xf numFmtId="0" fontId="1" fillId="0" borderId="23" xfId="0" applyFont="1" applyFill="1" applyBorder="1" applyAlignment="1">
      <alignment/>
    </xf>
    <xf numFmtId="0" fontId="6" fillId="0" borderId="23" xfId="0" applyFont="1" applyFill="1" applyBorder="1" applyAlignment="1">
      <alignment vertical="center"/>
    </xf>
    <xf numFmtId="0" fontId="0" fillId="0" borderId="23" xfId="0" applyFont="1" applyFill="1" applyBorder="1" applyAlignment="1">
      <alignment/>
    </xf>
    <xf numFmtId="0" fontId="0" fillId="0" borderId="23" xfId="0" applyFont="1" applyFill="1" applyBorder="1" applyAlignment="1">
      <alignment vertical="center"/>
    </xf>
    <xf numFmtId="0" fontId="1" fillId="0" borderId="23" xfId="0" applyFont="1" applyFill="1" applyBorder="1" applyAlignment="1">
      <alignment vertical="center"/>
    </xf>
    <xf numFmtId="0" fontId="6" fillId="0" borderId="24" xfId="0" applyFont="1" applyFill="1" applyBorder="1" applyAlignment="1">
      <alignment vertical="center"/>
    </xf>
    <xf numFmtId="167" fontId="1" fillId="0" borderId="17" xfId="0" applyNumberFormat="1" applyFont="1" applyFill="1" applyBorder="1" applyAlignment="1">
      <alignment horizontal="center" vertical="center"/>
    </xf>
    <xf numFmtId="167" fontId="1" fillId="0" borderId="18" xfId="0" applyNumberFormat="1" applyFont="1" applyFill="1" applyBorder="1" applyAlignment="1">
      <alignment horizontal="center" vertical="center"/>
    </xf>
    <xf numFmtId="3" fontId="1" fillId="0" borderId="17" xfId="109" applyNumberFormat="1" applyFont="1" applyFill="1" applyBorder="1" applyAlignment="1">
      <alignment/>
    </xf>
    <xf numFmtId="3" fontId="1" fillId="0" borderId="18" xfId="109" applyNumberFormat="1" applyFont="1" applyFill="1" applyBorder="1" applyAlignment="1">
      <alignment/>
    </xf>
    <xf numFmtId="3" fontId="6" fillId="0" borderId="17" xfId="109" applyNumberFormat="1" applyFont="1" applyFill="1" applyBorder="1" applyAlignment="1">
      <alignment vertical="center"/>
    </xf>
    <xf numFmtId="3" fontId="1" fillId="0" borderId="17" xfId="109" applyNumberFormat="1" applyFont="1" applyFill="1" applyBorder="1" applyAlignment="1">
      <alignment vertical="center"/>
    </xf>
    <xf numFmtId="3" fontId="6" fillId="0" borderId="17" xfId="0" applyNumberFormat="1" applyFont="1" applyFill="1" applyBorder="1" applyAlignment="1">
      <alignment/>
    </xf>
    <xf numFmtId="3" fontId="1" fillId="0" borderId="20" xfId="109" applyNumberFormat="1" applyFont="1" applyFill="1" applyBorder="1" applyAlignment="1">
      <alignment vertical="center"/>
    </xf>
    <xf numFmtId="3" fontId="0" fillId="0" borderId="17" xfId="109" applyNumberFormat="1" applyFont="1" applyFill="1" applyBorder="1" applyAlignment="1">
      <alignment/>
    </xf>
    <xf numFmtId="3" fontId="1" fillId="0" borderId="19" xfId="109" applyNumberFormat="1" applyFont="1" applyFill="1" applyBorder="1" applyAlignment="1">
      <alignment vertical="center"/>
    </xf>
    <xf numFmtId="3" fontId="10" fillId="0" borderId="20" xfId="109" applyNumberFormat="1" applyFont="1" applyFill="1" applyBorder="1" applyAlignment="1">
      <alignment vertical="center"/>
    </xf>
    <xf numFmtId="0" fontId="6" fillId="0" borderId="18" xfId="0" applyFont="1" applyFill="1" applyBorder="1" applyAlignment="1">
      <alignment vertical="center"/>
    </xf>
    <xf numFmtId="3" fontId="0" fillId="0" borderId="20" xfId="109" applyNumberFormat="1" applyFont="1" applyFill="1" applyBorder="1" applyAlignment="1">
      <alignment/>
    </xf>
    <xf numFmtId="3" fontId="6" fillId="0" borderId="20" xfId="109" applyNumberFormat="1" applyFont="1" applyFill="1" applyBorder="1" applyAlignment="1">
      <alignment/>
    </xf>
    <xf numFmtId="167" fontId="0" fillId="0" borderId="23" xfId="0" applyNumberFormat="1" applyFont="1" applyFill="1" applyBorder="1" applyAlignment="1">
      <alignment horizontal="left" vertical="center"/>
    </xf>
    <xf numFmtId="0" fontId="10" fillId="0" borderId="23" xfId="0" applyFont="1" applyFill="1" applyBorder="1" applyAlignment="1">
      <alignment/>
    </xf>
    <xf numFmtId="0" fontId="0" fillId="0" borderId="23" xfId="0" applyFont="1" applyBorder="1" applyAlignment="1">
      <alignment/>
    </xf>
    <xf numFmtId="0" fontId="10" fillId="0" borderId="23" xfId="0" applyFont="1" applyFill="1" applyBorder="1" applyAlignment="1">
      <alignment vertical="center"/>
    </xf>
    <xf numFmtId="0" fontId="10" fillId="0" borderId="0" xfId="0" applyFont="1" applyFill="1" applyBorder="1" applyAlignment="1">
      <alignment/>
    </xf>
    <xf numFmtId="0" fontId="10" fillId="0" borderId="23" xfId="0" applyFont="1" applyFill="1" applyBorder="1" applyAlignment="1">
      <alignment vertical="center"/>
    </xf>
    <xf numFmtId="3" fontId="10" fillId="0" borderId="0" xfId="109" applyNumberFormat="1" applyFont="1" applyFill="1" applyBorder="1" applyAlignment="1">
      <alignment/>
    </xf>
    <xf numFmtId="3" fontId="10" fillId="0" borderId="17" xfId="109" applyNumberFormat="1" applyFont="1" applyFill="1" applyBorder="1" applyAlignment="1">
      <alignment/>
    </xf>
    <xf numFmtId="3" fontId="10" fillId="0" borderId="18" xfId="0" applyNumberFormat="1" applyFont="1" applyFill="1" applyBorder="1" applyAlignment="1">
      <alignment/>
    </xf>
    <xf numFmtId="0" fontId="10" fillId="0" borderId="24" xfId="0" applyFont="1" applyFill="1" applyBorder="1" applyAlignment="1">
      <alignment/>
    </xf>
    <xf numFmtId="0" fontId="0" fillId="0" borderId="0" xfId="0" applyFont="1" applyFill="1" applyBorder="1" applyAlignment="1">
      <alignment/>
    </xf>
    <xf numFmtId="3" fontId="36" fillId="0" borderId="18" xfId="0" applyNumberFormat="1" applyFont="1" applyFill="1" applyBorder="1" applyAlignment="1">
      <alignment/>
    </xf>
    <xf numFmtId="3" fontId="36" fillId="0" borderId="0" xfId="0" applyNumberFormat="1" applyFont="1" applyFill="1" applyBorder="1" applyAlignment="1">
      <alignment/>
    </xf>
    <xf numFmtId="3" fontId="0" fillId="0" borderId="25" xfId="0" applyNumberFormat="1" applyFont="1" applyBorder="1" applyAlignment="1">
      <alignment/>
    </xf>
    <xf numFmtId="3" fontId="1" fillId="0" borderId="17" xfId="109" applyNumberFormat="1" applyFont="1" applyFill="1" applyBorder="1" applyAlignment="1">
      <alignment/>
    </xf>
    <xf numFmtId="3" fontId="0" fillId="0" borderId="1" xfId="0" applyNumberFormat="1" applyFont="1" applyBorder="1" applyAlignment="1">
      <alignment/>
    </xf>
    <xf numFmtId="0" fontId="0" fillId="0" borderId="23" xfId="0" applyFont="1" applyFill="1" applyBorder="1" applyAlignment="1">
      <alignment/>
    </xf>
    <xf numFmtId="208" fontId="0" fillId="0" borderId="0" xfId="0" applyNumberFormat="1" applyFont="1" applyFill="1" applyBorder="1" applyAlignment="1">
      <alignment/>
    </xf>
    <xf numFmtId="3" fontId="105" fillId="0" borderId="0" xfId="109" applyNumberFormat="1" applyFont="1" applyFill="1" applyBorder="1" applyAlignment="1">
      <alignment/>
    </xf>
    <xf numFmtId="3" fontId="105" fillId="0" borderId="0" xfId="109" applyNumberFormat="1" applyFont="1" applyFill="1" applyBorder="1" applyAlignment="1">
      <alignment horizontal="right"/>
    </xf>
    <xf numFmtId="3" fontId="105" fillId="0" borderId="0" xfId="109" applyNumberFormat="1" applyFont="1" applyFill="1" applyBorder="1" applyAlignment="1">
      <alignment vertical="center"/>
    </xf>
    <xf numFmtId="3" fontId="106" fillId="0" borderId="0" xfId="0" applyNumberFormat="1" applyFont="1" applyAlignment="1">
      <alignment/>
    </xf>
    <xf numFmtId="3" fontId="1" fillId="40" borderId="0" xfId="0" applyNumberFormat="1" applyFont="1" applyFill="1" applyBorder="1" applyAlignment="1">
      <alignment/>
    </xf>
    <xf numFmtId="3" fontId="1" fillId="40" borderId="18" xfId="0" applyNumberFormat="1" applyFont="1" applyFill="1" applyBorder="1" applyAlignment="1">
      <alignment/>
    </xf>
    <xf numFmtId="3" fontId="1" fillId="40" borderId="17" xfId="0" applyNumberFormat="1" applyFont="1" applyFill="1" applyBorder="1" applyAlignment="1">
      <alignment/>
    </xf>
    <xf numFmtId="3" fontId="1" fillId="40" borderId="19" xfId="0" applyNumberFormat="1" applyFont="1" applyFill="1" applyBorder="1" applyAlignment="1">
      <alignment/>
    </xf>
    <xf numFmtId="3" fontId="1" fillId="40" borderId="20" xfId="0" applyNumberFormat="1" applyFont="1" applyFill="1" applyBorder="1" applyAlignment="1">
      <alignment/>
    </xf>
    <xf numFmtId="3" fontId="1" fillId="40" borderId="21" xfId="0" applyNumberFormat="1" applyFont="1" applyFill="1" applyBorder="1" applyAlignment="1">
      <alignment/>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67" fontId="1" fillId="0" borderId="26" xfId="0" applyNumberFormat="1" applyFont="1" applyFill="1" applyBorder="1" applyAlignment="1">
      <alignment horizontal="center" vertical="center"/>
    </xf>
    <xf numFmtId="167" fontId="1" fillId="0" borderId="1" xfId="0" applyNumberFormat="1" applyFont="1" applyFill="1" applyBorder="1" applyAlignment="1">
      <alignment horizontal="center" vertical="center"/>
    </xf>
    <xf numFmtId="167" fontId="1" fillId="0" borderId="25" xfId="0" applyNumberFormat="1" applyFont="1" applyFill="1" applyBorder="1" applyAlignment="1">
      <alignment horizontal="center" vertical="center"/>
    </xf>
    <xf numFmtId="0" fontId="0" fillId="0" borderId="26" xfId="0" applyFont="1" applyFill="1" applyBorder="1" applyAlignment="1">
      <alignment/>
    </xf>
    <xf numFmtId="0" fontId="0" fillId="0" borderId="1" xfId="0" applyFont="1" applyFill="1" applyBorder="1" applyAlignment="1">
      <alignment/>
    </xf>
    <xf numFmtId="0" fontId="0" fillId="0" borderId="25" xfId="0" applyFont="1" applyFill="1" applyBorder="1" applyAlignment="1">
      <alignment/>
    </xf>
    <xf numFmtId="3" fontId="0" fillId="0" borderId="18" xfId="0" applyNumberFormat="1" applyFont="1" applyFill="1" applyBorder="1" applyAlignment="1">
      <alignment horizontal="right"/>
    </xf>
    <xf numFmtId="3" fontId="107" fillId="0" borderId="0" xfId="0" applyNumberFormat="1" applyFont="1" applyAlignment="1">
      <alignment/>
    </xf>
    <xf numFmtId="3" fontId="108" fillId="0" borderId="0" xfId="0" applyNumberFormat="1" applyFont="1" applyAlignment="1">
      <alignment/>
    </xf>
    <xf numFmtId="3" fontId="108" fillId="0" borderId="0" xfId="0" applyNumberFormat="1" applyFont="1" applyFill="1" applyAlignment="1">
      <alignment/>
    </xf>
    <xf numFmtId="3" fontId="109" fillId="0" borderId="0" xfId="0" applyNumberFormat="1" applyFont="1" applyAlignment="1">
      <alignment/>
    </xf>
    <xf numFmtId="3" fontId="110" fillId="0" borderId="0" xfId="0" applyNumberFormat="1" applyFont="1" applyAlignment="1">
      <alignment/>
    </xf>
    <xf numFmtId="3" fontId="110" fillId="0" borderId="0" xfId="0" applyNumberFormat="1" applyFont="1" applyFill="1" applyAlignment="1">
      <alignment/>
    </xf>
    <xf numFmtId="3" fontId="107" fillId="0" borderId="0" xfId="0" applyNumberFormat="1" applyFont="1" applyFill="1" applyAlignment="1">
      <alignment/>
    </xf>
    <xf numFmtId="3" fontId="111" fillId="0" borderId="1" xfId="0" applyNumberFormat="1" applyFont="1" applyFill="1" applyBorder="1" applyAlignment="1">
      <alignment horizontal="center"/>
    </xf>
    <xf numFmtId="3" fontId="111" fillId="0" borderId="0" xfId="0" applyNumberFormat="1" applyFont="1" applyFill="1" applyBorder="1" applyAlignment="1">
      <alignment horizontal="center"/>
    </xf>
    <xf numFmtId="3" fontId="108" fillId="0" borderId="0" xfId="0" applyNumberFormat="1" applyFont="1" applyBorder="1" applyAlignment="1">
      <alignment/>
    </xf>
    <xf numFmtId="3" fontId="108" fillId="0" borderId="0" xfId="0" applyNumberFormat="1" applyFont="1" applyFill="1" applyAlignment="1">
      <alignment horizontal="left"/>
    </xf>
    <xf numFmtId="3" fontId="111" fillId="0" borderId="0" xfId="0" applyNumberFormat="1" applyFont="1" applyFill="1" applyBorder="1" applyAlignment="1">
      <alignment/>
    </xf>
    <xf numFmtId="3" fontId="108" fillId="0" borderId="17" xfId="0" applyNumberFormat="1" applyFont="1" applyBorder="1" applyAlignment="1">
      <alignment/>
    </xf>
    <xf numFmtId="3" fontId="108" fillId="0" borderId="0" xfId="0" applyNumberFormat="1" applyFont="1" applyFill="1" applyBorder="1" applyAlignment="1">
      <alignment/>
    </xf>
    <xf numFmtId="3" fontId="108" fillId="0" borderId="18" xfId="0" applyNumberFormat="1" applyFont="1" applyBorder="1" applyAlignment="1">
      <alignment/>
    </xf>
    <xf numFmtId="3" fontId="111" fillId="0" borderId="0" xfId="0" applyNumberFormat="1" applyFont="1" applyFill="1" applyAlignment="1">
      <alignment/>
    </xf>
    <xf numFmtId="3" fontId="108" fillId="0" borderId="17" xfId="0" applyNumberFormat="1" applyFont="1" applyFill="1" applyBorder="1" applyAlignment="1">
      <alignment/>
    </xf>
    <xf numFmtId="3" fontId="108" fillId="0" borderId="18" xfId="0" applyNumberFormat="1" applyFont="1" applyFill="1" applyBorder="1" applyAlignment="1">
      <alignment/>
    </xf>
    <xf numFmtId="3" fontId="111" fillId="0" borderId="0" xfId="0" applyNumberFormat="1" applyFont="1" applyAlignment="1">
      <alignment/>
    </xf>
    <xf numFmtId="3" fontId="112" fillId="0" borderId="0" xfId="0" applyNumberFormat="1" applyFont="1" applyFill="1" applyAlignment="1">
      <alignment/>
    </xf>
    <xf numFmtId="3" fontId="113" fillId="0" borderId="0" xfId="130" applyNumberFormat="1" applyFont="1" applyFill="1" applyBorder="1" applyAlignment="1">
      <alignment/>
    </xf>
    <xf numFmtId="3" fontId="112" fillId="0" borderId="0" xfId="0" applyNumberFormat="1" applyFont="1" applyAlignment="1">
      <alignment/>
    </xf>
    <xf numFmtId="3" fontId="111" fillId="0" borderId="18" xfId="0" applyNumberFormat="1" applyFont="1" applyFill="1" applyBorder="1" applyAlignment="1">
      <alignment/>
    </xf>
    <xf numFmtId="3" fontId="114" fillId="0" borderId="0" xfId="0" applyNumberFormat="1" applyFont="1" applyFill="1" applyAlignment="1">
      <alignment/>
    </xf>
    <xf numFmtId="3" fontId="108" fillId="0" borderId="1" xfId="0" applyNumberFormat="1" applyFont="1" applyBorder="1" applyAlignment="1">
      <alignment/>
    </xf>
    <xf numFmtId="3" fontId="36" fillId="40" borderId="0" xfId="0" applyNumberFormat="1" applyFont="1" applyFill="1" applyBorder="1" applyAlignment="1">
      <alignment/>
    </xf>
    <xf numFmtId="3" fontId="36" fillId="0" borderId="20" xfId="0" applyNumberFormat="1" applyFont="1" applyFill="1" applyBorder="1" applyAlignment="1">
      <alignment/>
    </xf>
    <xf numFmtId="3" fontId="36" fillId="0" borderId="21" xfId="0" applyNumberFormat="1" applyFont="1" applyFill="1" applyBorder="1" applyAlignment="1">
      <alignment/>
    </xf>
    <xf numFmtId="3" fontId="108" fillId="0" borderId="0" xfId="109" applyNumberFormat="1" applyFont="1" applyFill="1" applyBorder="1" applyAlignment="1">
      <alignment/>
    </xf>
    <xf numFmtId="3" fontId="108" fillId="0" borderId="18" xfId="109" applyNumberFormat="1" applyFont="1" applyFill="1" applyBorder="1" applyAlignment="1">
      <alignment/>
    </xf>
    <xf numFmtId="3" fontId="115" fillId="0" borderId="0" xfId="0" applyNumberFormat="1" applyFont="1" applyBorder="1" applyAlignment="1">
      <alignment/>
    </xf>
    <xf numFmtId="3" fontId="115" fillId="0" borderId="18" xfId="0" applyNumberFormat="1" applyFont="1" applyBorder="1" applyAlignment="1">
      <alignment/>
    </xf>
    <xf numFmtId="3" fontId="105" fillId="0" borderId="0" xfId="0" applyNumberFormat="1" applyFont="1" applyBorder="1" applyAlignment="1">
      <alignment/>
    </xf>
    <xf numFmtId="3" fontId="105" fillId="0" borderId="18" xfId="0" applyNumberFormat="1" applyFont="1" applyBorder="1" applyAlignment="1">
      <alignment/>
    </xf>
    <xf numFmtId="0" fontId="105" fillId="0" borderId="0" xfId="0" applyFont="1" applyBorder="1" applyAlignment="1">
      <alignment/>
    </xf>
    <xf numFmtId="3" fontId="115" fillId="0" borderId="0" xfId="0" applyNumberFormat="1" applyFont="1" applyFill="1" applyBorder="1" applyAlignment="1">
      <alignment/>
    </xf>
    <xf numFmtId="3" fontId="115" fillId="0" borderId="17" xfId="0" applyNumberFormat="1" applyFont="1" applyFill="1" applyBorder="1" applyAlignment="1">
      <alignment/>
    </xf>
    <xf numFmtId="3" fontId="105" fillId="0" borderId="0" xfId="0" applyNumberFormat="1" applyFont="1" applyFill="1" applyBorder="1" applyAlignment="1">
      <alignment/>
    </xf>
    <xf numFmtId="3" fontId="105" fillId="0" borderId="17" xfId="0" applyNumberFormat="1" applyFont="1" applyFill="1" applyBorder="1" applyAlignment="1">
      <alignment/>
    </xf>
    <xf numFmtId="0" fontId="105" fillId="0" borderId="17" xfId="0" applyFont="1" applyFill="1" applyBorder="1" applyAlignment="1">
      <alignment/>
    </xf>
    <xf numFmtId="3" fontId="115" fillId="0" borderId="17" xfId="109" applyNumberFormat="1" applyFont="1" applyFill="1" applyBorder="1" applyAlignment="1">
      <alignment/>
    </xf>
    <xf numFmtId="0" fontId="105" fillId="0" borderId="17" xfId="0" applyFont="1" applyFill="1" applyBorder="1" applyAlignment="1">
      <alignment vertical="center"/>
    </xf>
    <xf numFmtId="3" fontId="105" fillId="0" borderId="17" xfId="109" applyNumberFormat="1" applyFont="1" applyFill="1" applyBorder="1" applyAlignment="1">
      <alignment vertical="center"/>
    </xf>
    <xf numFmtId="3" fontId="105" fillId="0" borderId="17" xfId="109" applyNumberFormat="1" applyFont="1" applyFill="1" applyBorder="1" applyAlignment="1">
      <alignment/>
    </xf>
    <xf numFmtId="0" fontId="105" fillId="0" borderId="0" xfId="0" applyFont="1" applyFill="1" applyBorder="1" applyAlignment="1">
      <alignment/>
    </xf>
    <xf numFmtId="3" fontId="115" fillId="0" borderId="0" xfId="109" applyNumberFormat="1" applyFont="1" applyFill="1" applyBorder="1" applyAlignment="1">
      <alignment/>
    </xf>
    <xf numFmtId="0" fontId="105" fillId="0" borderId="0" xfId="0" applyFont="1" applyFill="1" applyBorder="1" applyAlignment="1">
      <alignment vertical="center"/>
    </xf>
    <xf numFmtId="3" fontId="116" fillId="0" borderId="17" xfId="109" applyNumberFormat="1" applyFont="1" applyFill="1" applyBorder="1" applyAlignment="1">
      <alignment/>
    </xf>
    <xf numFmtId="3" fontId="117" fillId="0" borderId="0" xfId="0" applyNumberFormat="1" applyFont="1" applyFill="1" applyBorder="1" applyAlignment="1">
      <alignment/>
    </xf>
    <xf numFmtId="3" fontId="116" fillId="0" borderId="0" xfId="109" applyNumberFormat="1" applyFont="1" applyFill="1" applyBorder="1" applyAlignment="1">
      <alignment/>
    </xf>
    <xf numFmtId="3" fontId="117" fillId="0" borderId="0" xfId="109" applyNumberFormat="1" applyFont="1" applyFill="1" applyBorder="1" applyAlignment="1">
      <alignment/>
    </xf>
    <xf numFmtId="3" fontId="117" fillId="0" borderId="17" xfId="109" applyNumberFormat="1" applyFont="1" applyFill="1" applyBorder="1" applyAlignment="1">
      <alignment vertical="center"/>
    </xf>
    <xf numFmtId="3" fontId="117" fillId="0" borderId="0" xfId="109" applyNumberFormat="1" applyFont="1" applyFill="1" applyBorder="1" applyAlignment="1">
      <alignment vertical="center"/>
    </xf>
    <xf numFmtId="0" fontId="117" fillId="0" borderId="17" xfId="0" applyFont="1" applyFill="1" applyBorder="1" applyAlignment="1">
      <alignment vertical="center"/>
    </xf>
    <xf numFmtId="0" fontId="117" fillId="0" borderId="0" xfId="0" applyFont="1" applyFill="1" applyBorder="1" applyAlignment="1">
      <alignment vertical="center"/>
    </xf>
    <xf numFmtId="3" fontId="105" fillId="0" borderId="19" xfId="109" applyNumberFormat="1" applyFont="1" applyFill="1" applyBorder="1" applyAlignment="1">
      <alignment/>
    </xf>
    <xf numFmtId="3" fontId="105" fillId="0" borderId="20" xfId="0" applyNumberFormat="1" applyFont="1" applyFill="1" applyBorder="1" applyAlignment="1">
      <alignment/>
    </xf>
    <xf numFmtId="3" fontId="105" fillId="0" borderId="20" xfId="109" applyNumberFormat="1" applyFont="1" applyFill="1" applyBorder="1" applyAlignment="1">
      <alignment/>
    </xf>
    <xf numFmtId="3" fontId="117" fillId="0" borderId="17" xfId="109" applyNumberFormat="1" applyFont="1" applyFill="1" applyBorder="1" applyAlignment="1">
      <alignment/>
    </xf>
    <xf numFmtId="0" fontId="105" fillId="0" borderId="17" xfId="0" applyFont="1" applyBorder="1" applyAlignment="1">
      <alignment/>
    </xf>
    <xf numFmtId="3" fontId="115" fillId="0" borderId="19" xfId="109" applyNumberFormat="1" applyFont="1" applyFill="1" applyBorder="1" applyAlignment="1">
      <alignment/>
    </xf>
    <xf numFmtId="3" fontId="115" fillId="0" borderId="20" xfId="0" applyNumberFormat="1" applyFont="1" applyFill="1" applyBorder="1" applyAlignment="1">
      <alignment/>
    </xf>
    <xf numFmtId="3" fontId="115" fillId="0" borderId="18" xfId="0" applyNumberFormat="1" applyFont="1" applyFill="1" applyBorder="1" applyAlignment="1">
      <alignment/>
    </xf>
    <xf numFmtId="3" fontId="116" fillId="0" borderId="18" xfId="109" applyNumberFormat="1" applyFont="1" applyFill="1" applyBorder="1" applyAlignment="1">
      <alignment/>
    </xf>
    <xf numFmtId="0" fontId="105" fillId="0" borderId="18" xfId="0" applyFont="1" applyFill="1" applyBorder="1" applyAlignment="1">
      <alignment/>
    </xf>
    <xf numFmtId="3" fontId="117" fillId="0" borderId="18" xfId="109" applyNumberFormat="1" applyFont="1" applyFill="1" applyBorder="1" applyAlignment="1">
      <alignment/>
    </xf>
    <xf numFmtId="3" fontId="115" fillId="0" borderId="18" xfId="109" applyNumberFormat="1" applyFont="1" applyFill="1" applyBorder="1" applyAlignment="1">
      <alignment/>
    </xf>
    <xf numFmtId="3" fontId="105" fillId="0" borderId="18" xfId="0" applyNumberFormat="1" applyFont="1" applyFill="1" applyBorder="1" applyAlignment="1">
      <alignment/>
    </xf>
    <xf numFmtId="3" fontId="117" fillId="0" borderId="18" xfId="109" applyNumberFormat="1" applyFont="1" applyFill="1" applyBorder="1" applyAlignment="1">
      <alignment vertical="center"/>
    </xf>
    <xf numFmtId="3" fontId="105" fillId="0" borderId="21" xfId="0" applyNumberFormat="1" applyFont="1" applyFill="1" applyBorder="1" applyAlignment="1">
      <alignment/>
    </xf>
    <xf numFmtId="0" fontId="115" fillId="0" borderId="18" xfId="0" applyFont="1" applyFill="1" applyBorder="1" applyAlignment="1">
      <alignment/>
    </xf>
    <xf numFmtId="3" fontId="115" fillId="0" borderId="21" xfId="0" applyNumberFormat="1" applyFont="1" applyFill="1" applyBorder="1" applyAlignment="1">
      <alignment/>
    </xf>
    <xf numFmtId="3" fontId="1" fillId="0" borderId="18" xfId="0" applyNumberFormat="1" applyFont="1" applyFill="1" applyBorder="1" applyAlignment="1">
      <alignment/>
    </xf>
    <xf numFmtId="3" fontId="8" fillId="0" borderId="18" xfId="0" applyNumberFormat="1" applyFont="1" applyFill="1" applyBorder="1" applyAlignment="1">
      <alignment horizontal="right"/>
    </xf>
    <xf numFmtId="3" fontId="0" fillId="0" borderId="20" xfId="0" applyNumberFormat="1" applyFont="1" applyFill="1" applyBorder="1" applyAlignment="1">
      <alignment horizontal="right"/>
    </xf>
    <xf numFmtId="3" fontId="105" fillId="0" borderId="18" xfId="109" applyNumberFormat="1" applyFont="1" applyFill="1" applyBorder="1" applyAlignment="1">
      <alignment horizontal="right"/>
    </xf>
    <xf numFmtId="166" fontId="105" fillId="33" borderId="20" xfId="0" applyNumberFormat="1" applyFont="1" applyFill="1" applyBorder="1" applyAlignment="1">
      <alignment/>
    </xf>
    <xf numFmtId="166" fontId="105" fillId="33" borderId="21" xfId="0" applyNumberFormat="1" applyFont="1" applyFill="1" applyBorder="1" applyAlignment="1">
      <alignment/>
    </xf>
    <xf numFmtId="3" fontId="6" fillId="0" borderId="0" xfId="109" applyNumberFormat="1" applyFont="1" applyFill="1" applyBorder="1" applyAlignment="1">
      <alignment/>
    </xf>
    <xf numFmtId="3" fontId="6" fillId="0" borderId="18" xfId="109" applyNumberFormat="1" applyFont="1" applyFill="1" applyBorder="1" applyAlignment="1">
      <alignment/>
    </xf>
    <xf numFmtId="3" fontId="0" fillId="0" borderId="0" xfId="109" applyNumberFormat="1" applyFont="1" applyFill="1" applyBorder="1" applyAlignment="1">
      <alignment/>
    </xf>
    <xf numFmtId="3" fontId="1" fillId="0" borderId="0" xfId="0" applyNumberFormat="1" applyFont="1" applyFill="1" applyBorder="1" applyAlignment="1">
      <alignment/>
    </xf>
    <xf numFmtId="3" fontId="1" fillId="0" borderId="20" xfId="0" applyNumberFormat="1" applyFont="1" applyFill="1" applyBorder="1" applyAlignment="1">
      <alignment/>
    </xf>
    <xf numFmtId="167" fontId="5" fillId="0" borderId="0" xfId="0" applyNumberFormat="1" applyFont="1" applyFill="1" applyBorder="1" applyAlignment="1">
      <alignment horizontal="center" vertical="center"/>
    </xf>
    <xf numFmtId="167" fontId="1" fillId="0" borderId="17" xfId="0" applyNumberFormat="1" applyFont="1" applyFill="1" applyBorder="1" applyAlignment="1">
      <alignment horizontal="center" vertical="center"/>
    </xf>
    <xf numFmtId="167" fontId="1" fillId="0" borderId="0" xfId="0" applyNumberFormat="1" applyFont="1" applyFill="1" applyBorder="1" applyAlignment="1">
      <alignment horizontal="center" vertical="center"/>
    </xf>
    <xf numFmtId="167" fontId="1" fillId="0" borderId="18" xfId="0" applyNumberFormat="1" applyFont="1" applyFill="1" applyBorder="1" applyAlignment="1">
      <alignment horizontal="center" vertical="center"/>
    </xf>
    <xf numFmtId="167" fontId="10" fillId="0" borderId="23" xfId="0" applyNumberFormat="1" applyFont="1" applyFill="1" applyBorder="1" applyAlignment="1">
      <alignment horizontal="left"/>
    </xf>
    <xf numFmtId="0" fontId="6" fillId="0" borderId="23" xfId="0" applyFont="1" applyFill="1" applyBorder="1" applyAlignment="1">
      <alignment vertical="center"/>
    </xf>
    <xf numFmtId="3" fontId="6" fillId="0" borderId="18" xfId="109" applyNumberFormat="1" applyFont="1" applyFill="1" applyBorder="1" applyAlignment="1">
      <alignment vertical="center"/>
    </xf>
    <xf numFmtId="3" fontId="117" fillId="0" borderId="18" xfId="0" applyNumberFormat="1" applyFont="1" applyFill="1" applyBorder="1" applyAlignment="1">
      <alignment/>
    </xf>
    <xf numFmtId="3" fontId="6" fillId="0" borderId="17" xfId="109" applyNumberFormat="1" applyFont="1" applyFill="1" applyBorder="1" applyAlignment="1">
      <alignment/>
    </xf>
    <xf numFmtId="3" fontId="10" fillId="0" borderId="18" xfId="109" applyNumberFormat="1" applyFont="1" applyFill="1" applyBorder="1" applyAlignment="1">
      <alignment/>
    </xf>
    <xf numFmtId="3" fontId="10" fillId="0" borderId="17" xfId="109" applyNumberFormat="1" applyFont="1" applyFill="1" applyBorder="1" applyAlignment="1">
      <alignment vertical="center"/>
    </xf>
    <xf numFmtId="3" fontId="6" fillId="0" borderId="0" xfId="109" applyNumberFormat="1" applyFont="1" applyFill="1" applyBorder="1" applyAlignment="1">
      <alignment vertical="center"/>
    </xf>
    <xf numFmtId="0" fontId="6" fillId="0" borderId="0" xfId="0" applyFont="1" applyFill="1" applyBorder="1" applyAlignment="1">
      <alignment/>
    </xf>
    <xf numFmtId="3" fontId="117" fillId="0" borderId="17" xfId="0" applyNumberFormat="1" applyFont="1" applyFill="1" applyBorder="1" applyAlignment="1">
      <alignment/>
    </xf>
    <xf numFmtId="0" fontId="1" fillId="0" borderId="23" xfId="0" applyFont="1" applyFill="1" applyBorder="1" applyAlignment="1">
      <alignment/>
    </xf>
    <xf numFmtId="3" fontId="1" fillId="0" borderId="19" xfId="109" applyNumberFormat="1" applyFont="1" applyFill="1" applyBorder="1" applyAlignment="1">
      <alignment/>
    </xf>
    <xf numFmtId="3" fontId="1" fillId="0" borderId="20" xfId="109" applyNumberFormat="1" applyFont="1" applyFill="1" applyBorder="1" applyAlignment="1">
      <alignment/>
    </xf>
    <xf numFmtId="3" fontId="1" fillId="0" borderId="21" xfId="109" applyNumberFormat="1" applyFont="1" applyFill="1" applyBorder="1" applyAlignment="1">
      <alignment/>
    </xf>
    <xf numFmtId="3" fontId="6" fillId="0" borderId="20" xfId="0" applyNumberFormat="1" applyFont="1" applyFill="1" applyBorder="1" applyAlignment="1">
      <alignment/>
    </xf>
    <xf numFmtId="0" fontId="0" fillId="0" borderId="0" xfId="0" applyFont="1" applyFill="1" applyAlignment="1">
      <alignment/>
    </xf>
    <xf numFmtId="3" fontId="1" fillId="0" borderId="0" xfId="0" applyNumberFormat="1" applyFont="1" applyBorder="1" applyAlignment="1">
      <alignment/>
    </xf>
    <xf numFmtId="3" fontId="1" fillId="0" borderId="18" xfId="0" applyNumberFormat="1" applyFont="1" applyBorder="1" applyAlignment="1">
      <alignment/>
    </xf>
    <xf numFmtId="0" fontId="10" fillId="0" borderId="23" xfId="0" applyFont="1" applyFill="1" applyBorder="1" applyAlignment="1">
      <alignment/>
    </xf>
    <xf numFmtId="0" fontId="0" fillId="0" borderId="17" xfId="0" applyFont="1" applyFill="1" applyBorder="1" applyAlignment="1" quotePrefix="1">
      <alignment/>
    </xf>
    <xf numFmtId="0" fontId="0" fillId="0" borderId="0" xfId="0" applyFont="1" applyFill="1" applyBorder="1" applyAlignment="1">
      <alignment horizontal="left"/>
    </xf>
    <xf numFmtId="0" fontId="0" fillId="0" borderId="0" xfId="0" applyFont="1" applyFill="1" applyBorder="1" applyAlignment="1" quotePrefix="1">
      <alignment horizontal="left"/>
    </xf>
    <xf numFmtId="3" fontId="105" fillId="0" borderId="21" xfId="109" applyNumberFormat="1" applyFont="1" applyFill="1" applyBorder="1" applyAlignment="1">
      <alignment/>
    </xf>
    <xf numFmtId="3" fontId="105" fillId="0" borderId="18" xfId="109" applyNumberFormat="1" applyFont="1" applyFill="1" applyBorder="1" applyAlignment="1">
      <alignment/>
    </xf>
    <xf numFmtId="3" fontId="6" fillId="0" borderId="17" xfId="0" applyNumberFormat="1" applyFont="1" applyFill="1" applyBorder="1" applyAlignment="1">
      <alignment/>
    </xf>
    <xf numFmtId="3" fontId="6" fillId="0" borderId="18" xfId="0" applyNumberFormat="1" applyFont="1" applyFill="1" applyBorder="1" applyAlignment="1">
      <alignment/>
    </xf>
    <xf numFmtId="3" fontId="1" fillId="0" borderId="18" xfId="109" applyNumberFormat="1" applyFont="1" applyFill="1" applyBorder="1" applyAlignment="1">
      <alignment/>
    </xf>
    <xf numFmtId="3" fontId="0" fillId="0" borderId="25" xfId="0" applyNumberFormat="1" applyFont="1" applyBorder="1" applyAlignment="1">
      <alignment/>
    </xf>
    <xf numFmtId="3" fontId="0" fillId="0" borderId="25" xfId="0" applyNumberFormat="1" applyFont="1" applyFill="1" applyBorder="1" applyAlignment="1">
      <alignment/>
    </xf>
    <xf numFmtId="0" fontId="5" fillId="0" borderId="25" xfId="0" applyNumberFormat="1" applyFont="1" applyFill="1" applyBorder="1" applyAlignment="1">
      <alignment horizontal="center" vertical="center" wrapText="1"/>
    </xf>
    <xf numFmtId="3" fontId="0" fillId="0" borderId="21" xfId="0" applyNumberFormat="1" applyFont="1" applyFill="1" applyBorder="1" applyAlignment="1">
      <alignment horizontal="right"/>
    </xf>
    <xf numFmtId="0" fontId="1" fillId="0" borderId="0" xfId="0" applyFont="1" applyFill="1" applyBorder="1" applyAlignment="1">
      <alignment/>
    </xf>
    <xf numFmtId="0" fontId="0" fillId="0" borderId="0" xfId="0" applyFont="1" applyFill="1" applyBorder="1" applyAlignment="1">
      <alignment horizontal="left" wrapText="1"/>
    </xf>
    <xf numFmtId="0" fontId="0" fillId="0" borderId="27" xfId="0" applyFont="1" applyFill="1" applyBorder="1" applyAlignment="1">
      <alignment horizontal="center" vertical="center"/>
    </xf>
    <xf numFmtId="0" fontId="0" fillId="0" borderId="0" xfId="0" applyFill="1" applyAlignment="1">
      <alignment/>
    </xf>
    <xf numFmtId="0" fontId="38" fillId="0" borderId="0" xfId="0" applyFont="1" applyAlignment="1">
      <alignment/>
    </xf>
    <xf numFmtId="0" fontId="0" fillId="0" borderId="0" xfId="0" applyAlignment="1">
      <alignment horizontal="center"/>
    </xf>
    <xf numFmtId="168" fontId="0" fillId="0" borderId="0" xfId="0" applyNumberFormat="1" applyAlignment="1">
      <alignment horizontal="center"/>
    </xf>
    <xf numFmtId="3" fontId="0" fillId="0" borderId="0" xfId="0" applyNumberFormat="1" applyAlignment="1">
      <alignment/>
    </xf>
    <xf numFmtId="3" fontId="1" fillId="0" borderId="17" xfId="0" applyNumberFormat="1" applyFont="1" applyFill="1" applyBorder="1" applyAlignment="1">
      <alignment/>
    </xf>
    <xf numFmtId="0" fontId="0" fillId="0" borderId="1" xfId="0" applyFont="1" applyFill="1" applyBorder="1" applyAlignment="1">
      <alignment vertical="center"/>
    </xf>
    <xf numFmtId="166" fontId="105" fillId="33" borderId="0" xfId="0" applyNumberFormat="1" applyFont="1" applyFill="1" applyBorder="1" applyAlignment="1">
      <alignment/>
    </xf>
    <xf numFmtId="166" fontId="105" fillId="33" borderId="18" xfId="0" applyNumberFormat="1" applyFont="1" applyFill="1" applyBorder="1" applyAlignment="1">
      <alignment/>
    </xf>
    <xf numFmtId="0" fontId="0" fillId="0" borderId="0" xfId="0" applyFont="1" applyFill="1" applyBorder="1" applyAlignment="1" quotePrefix="1">
      <alignment/>
    </xf>
    <xf numFmtId="0" fontId="0" fillId="0" borderId="24" xfId="0" applyFont="1" applyFill="1" applyBorder="1" applyAlignment="1">
      <alignment/>
    </xf>
    <xf numFmtId="3" fontId="1" fillId="0" borderId="17" xfId="109" applyNumberFormat="1" applyFont="1" applyFill="1" applyBorder="1" applyAlignment="1">
      <alignment vertical="center"/>
    </xf>
    <xf numFmtId="3" fontId="1" fillId="0" borderId="0" xfId="109" applyNumberFormat="1" applyFont="1" applyFill="1" applyBorder="1" applyAlignment="1">
      <alignment vertical="center"/>
    </xf>
    <xf numFmtId="3" fontId="1" fillId="0" borderId="18" xfId="109" applyNumberFormat="1" applyFont="1" applyFill="1" applyBorder="1" applyAlignment="1">
      <alignment vertical="center"/>
    </xf>
    <xf numFmtId="3" fontId="6" fillId="0" borderId="17" xfId="109" applyNumberFormat="1" applyFont="1" applyFill="1" applyBorder="1" applyAlignment="1">
      <alignment vertical="center"/>
    </xf>
    <xf numFmtId="3" fontId="6" fillId="0" borderId="18" xfId="109" applyNumberFormat="1" applyFont="1" applyFill="1" applyBorder="1" applyAlignment="1">
      <alignment vertical="center"/>
    </xf>
    <xf numFmtId="0" fontId="1" fillId="0" borderId="23" xfId="0" applyFont="1" applyFill="1" applyBorder="1" applyAlignment="1">
      <alignment vertical="center"/>
    </xf>
    <xf numFmtId="0" fontId="6" fillId="0" borderId="23" xfId="0" applyFont="1" applyFill="1" applyBorder="1" applyAlignment="1">
      <alignment/>
    </xf>
    <xf numFmtId="0" fontId="1" fillId="0" borderId="24" xfId="0" applyFont="1" applyFill="1" applyBorder="1" applyAlignment="1">
      <alignment/>
    </xf>
    <xf numFmtId="0" fontId="0" fillId="0" borderId="23" xfId="0" applyFont="1" applyFill="1" applyBorder="1" applyAlignment="1">
      <alignment vertical="center"/>
    </xf>
    <xf numFmtId="0" fontId="1" fillId="0" borderId="24" xfId="0" applyFont="1" applyFill="1" applyBorder="1" applyAlignment="1">
      <alignment vertical="center"/>
    </xf>
    <xf numFmtId="3" fontId="116" fillId="0" borderId="19" xfId="109" applyNumberFormat="1" applyFont="1" applyFill="1" applyBorder="1" applyAlignment="1">
      <alignment/>
    </xf>
    <xf numFmtId="3" fontId="116" fillId="0" borderId="20" xfId="109" applyNumberFormat="1" applyFont="1" applyFill="1" applyBorder="1" applyAlignment="1">
      <alignment/>
    </xf>
    <xf numFmtId="3" fontId="116" fillId="0" borderId="19" xfId="0" applyNumberFormat="1" applyFont="1" applyFill="1" applyBorder="1" applyAlignment="1">
      <alignment/>
    </xf>
    <xf numFmtId="3" fontId="116" fillId="0" borderId="20" xfId="0" applyNumberFormat="1" applyFont="1" applyFill="1" applyBorder="1" applyAlignment="1">
      <alignment/>
    </xf>
    <xf numFmtId="3" fontId="116" fillId="0" borderId="21" xfId="0" applyNumberFormat="1" applyFont="1" applyFill="1" applyBorder="1" applyAlignment="1">
      <alignment/>
    </xf>
    <xf numFmtId="4" fontId="6" fillId="0" borderId="17" xfId="109" applyNumberFormat="1" applyFont="1" applyFill="1" applyBorder="1" applyAlignment="1">
      <alignment vertical="center"/>
    </xf>
    <xf numFmtId="4" fontId="6" fillId="0" borderId="0" xfId="109" applyNumberFormat="1" applyFont="1" applyFill="1" applyBorder="1" applyAlignment="1">
      <alignment vertical="center"/>
    </xf>
    <xf numFmtId="4" fontId="6" fillId="0" borderId="18" xfId="109" applyNumberFormat="1" applyFont="1" applyFill="1" applyBorder="1" applyAlignment="1">
      <alignment vertical="center"/>
    </xf>
    <xf numFmtId="3" fontId="0" fillId="0" borderId="0" xfId="0" applyNumberFormat="1" applyFont="1" applyFill="1" applyBorder="1" applyAlignment="1">
      <alignment/>
    </xf>
    <xf numFmtId="0" fontId="9" fillId="0" borderId="0" xfId="0" applyFont="1" applyFill="1" applyBorder="1" applyAlignment="1" quotePrefix="1">
      <alignment horizontal="left"/>
    </xf>
    <xf numFmtId="0" fontId="9" fillId="0" borderId="0" xfId="0" applyFont="1" applyFill="1" applyBorder="1" applyAlignment="1">
      <alignment horizontal="left"/>
    </xf>
    <xf numFmtId="3" fontId="9" fillId="0" borderId="0" xfId="0" applyNumberFormat="1" applyFont="1" applyFill="1" applyBorder="1" applyAlignment="1">
      <alignment/>
    </xf>
    <xf numFmtId="0" fontId="9" fillId="0" borderId="0" xfId="0" applyFont="1" applyFill="1" applyBorder="1" applyAlignment="1">
      <alignment/>
    </xf>
    <xf numFmtId="3" fontId="0" fillId="0" borderId="26" xfId="0" applyNumberFormat="1" applyFont="1" applyBorder="1" applyAlignment="1">
      <alignment/>
    </xf>
    <xf numFmtId="3" fontId="115" fillId="0" borderId="17" xfId="0" applyNumberFormat="1" applyFont="1" applyBorder="1" applyAlignment="1">
      <alignment/>
    </xf>
    <xf numFmtId="3" fontId="105" fillId="0" borderId="17" xfId="0" applyNumberFormat="1" applyFont="1" applyBorder="1" applyAlignment="1">
      <alignment/>
    </xf>
    <xf numFmtId="3" fontId="1" fillId="0" borderId="17" xfId="0" applyNumberFormat="1" applyFont="1" applyBorder="1" applyAlignment="1">
      <alignment/>
    </xf>
    <xf numFmtId="0" fontId="0" fillId="0" borderId="23" xfId="0" applyFont="1" applyBorder="1" applyAlignment="1">
      <alignment/>
    </xf>
    <xf numFmtId="0" fontId="10" fillId="0" borderId="23" xfId="0" applyFont="1" applyBorder="1" applyAlignment="1">
      <alignment/>
    </xf>
    <xf numFmtId="0" fontId="1" fillId="0" borderId="23" xfId="0" applyFont="1" applyBorder="1" applyAlignment="1">
      <alignment/>
    </xf>
    <xf numFmtId="0" fontId="0" fillId="0" borderId="23" xfId="0" applyFont="1" applyBorder="1" applyAlignment="1">
      <alignment/>
    </xf>
    <xf numFmtId="3" fontId="1" fillId="33" borderId="24" xfId="0" applyNumberFormat="1" applyFont="1" applyFill="1" applyBorder="1" applyAlignment="1">
      <alignment/>
    </xf>
    <xf numFmtId="0" fontId="5" fillId="0" borderId="17" xfId="0" applyNumberFormat="1" applyFont="1" applyFill="1" applyBorder="1" applyAlignment="1">
      <alignment horizontal="center" vertical="center" wrapText="1"/>
    </xf>
    <xf numFmtId="0" fontId="0" fillId="0" borderId="17" xfId="0" applyNumberFormat="1" applyFont="1" applyBorder="1" applyAlignment="1">
      <alignment vertical="center"/>
    </xf>
    <xf numFmtId="0" fontId="5" fillId="0" borderId="17" xfId="0" applyNumberFormat="1" applyFont="1" applyFill="1" applyBorder="1" applyAlignment="1">
      <alignment horizontal="center"/>
    </xf>
    <xf numFmtId="3" fontId="108" fillId="0" borderId="17" xfId="109" applyNumberFormat="1" applyFont="1" applyFill="1" applyBorder="1" applyAlignment="1">
      <alignment/>
    </xf>
    <xf numFmtId="3" fontId="111" fillId="0" borderId="17" xfId="109" applyNumberFormat="1" applyFont="1" applyFill="1" applyBorder="1" applyAlignment="1">
      <alignment/>
    </xf>
    <xf numFmtId="3" fontId="1" fillId="33" borderId="17" xfId="109" applyNumberFormat="1" applyFont="1" applyFill="1" applyBorder="1" applyAlignment="1">
      <alignment/>
    </xf>
    <xf numFmtId="0" fontId="1" fillId="0" borderId="17" xfId="0" applyNumberFormat="1" applyFont="1" applyFill="1" applyBorder="1" applyAlignment="1">
      <alignment horizontal="center" vertical="center" wrapText="1"/>
    </xf>
    <xf numFmtId="3" fontId="0" fillId="0" borderId="17" xfId="109" applyNumberFormat="1" applyFont="1" applyFill="1" applyBorder="1" applyAlignment="1">
      <alignment vertical="center"/>
    </xf>
    <xf numFmtId="3" fontId="1" fillId="33" borderId="19" xfId="0" applyNumberFormat="1" applyFont="1" applyFill="1" applyBorder="1" applyAlignment="1">
      <alignment vertical="center"/>
    </xf>
    <xf numFmtId="3" fontId="4" fillId="0" borderId="23" xfId="0" applyNumberFormat="1" applyFont="1" applyFill="1" applyBorder="1" applyAlignment="1">
      <alignment horizontal="center" vertical="center"/>
    </xf>
    <xf numFmtId="0" fontId="4" fillId="0" borderId="23" xfId="0" applyNumberFormat="1" applyFont="1" applyBorder="1" applyAlignment="1">
      <alignment vertical="center"/>
    </xf>
    <xf numFmtId="0" fontId="1" fillId="0" borderId="23" xfId="0" applyNumberFormat="1" applyFont="1" applyFill="1" applyBorder="1" applyAlignment="1">
      <alignment horizontal="left"/>
    </xf>
    <xf numFmtId="0" fontId="1" fillId="33" borderId="23" xfId="0" applyFont="1" applyFill="1" applyBorder="1" applyAlignment="1">
      <alignment/>
    </xf>
    <xf numFmtId="0" fontId="4" fillId="0" borderId="23" xfId="0" applyFont="1" applyBorder="1" applyAlignment="1">
      <alignment/>
    </xf>
    <xf numFmtId="0" fontId="0" fillId="0" borderId="23" xfId="0" applyFont="1" applyFill="1" applyBorder="1" applyAlignment="1" quotePrefix="1">
      <alignment vertical="center"/>
    </xf>
    <xf numFmtId="0" fontId="1" fillId="33" borderId="24" xfId="0" applyFont="1" applyFill="1" applyBorder="1" applyAlignment="1">
      <alignment/>
    </xf>
    <xf numFmtId="0" fontId="4" fillId="0" borderId="23" xfId="0" applyFont="1" applyBorder="1" applyAlignment="1">
      <alignment/>
    </xf>
    <xf numFmtId="0" fontId="1" fillId="33" borderId="23" xfId="0" applyFont="1" applyFill="1" applyBorder="1" applyAlignment="1">
      <alignment/>
    </xf>
    <xf numFmtId="0" fontId="0" fillId="0" borderId="23" xfId="0" applyFont="1" applyFill="1" applyBorder="1" applyAlignment="1" quotePrefix="1">
      <alignment/>
    </xf>
    <xf numFmtId="0" fontId="4" fillId="0" borderId="23" xfId="0" applyFont="1" applyFill="1" applyBorder="1" applyAlignment="1">
      <alignment/>
    </xf>
    <xf numFmtId="0" fontId="0" fillId="0" borderId="23" xfId="0" applyFont="1" applyFill="1" applyBorder="1" applyAlignment="1">
      <alignment/>
    </xf>
    <xf numFmtId="0" fontId="0" fillId="0" borderId="23" xfId="0" applyFont="1" applyBorder="1" applyAlignment="1">
      <alignment/>
    </xf>
    <xf numFmtId="0" fontId="5" fillId="0" borderId="17" xfId="0" applyNumberFormat="1" applyFont="1" applyFill="1" applyBorder="1" applyAlignment="1">
      <alignment horizontal="center" vertical="center" wrapText="1"/>
    </xf>
    <xf numFmtId="0" fontId="5" fillId="0" borderId="25"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3" fontId="0" fillId="0" borderId="17" xfId="109" applyNumberFormat="1" applyFont="1" applyFill="1" applyBorder="1" applyAlignment="1">
      <alignment horizontal="right"/>
    </xf>
    <xf numFmtId="3" fontId="1" fillId="33" borderId="17" xfId="0" applyNumberFormat="1" applyFont="1" applyFill="1" applyBorder="1" applyAlignment="1">
      <alignment horizontal="right"/>
    </xf>
    <xf numFmtId="3" fontId="1" fillId="33" borderId="17" xfId="109" applyNumberFormat="1" applyFont="1" applyFill="1" applyBorder="1" applyAlignment="1">
      <alignment horizontal="right"/>
    </xf>
    <xf numFmtId="3" fontId="0" fillId="0" borderId="17" xfId="0" applyNumberFormat="1" applyFont="1" applyFill="1" applyBorder="1" applyAlignment="1">
      <alignment horizontal="right"/>
    </xf>
    <xf numFmtId="3" fontId="1" fillId="0" borderId="17" xfId="0" applyNumberFormat="1" applyFont="1" applyFill="1" applyBorder="1" applyAlignment="1">
      <alignment horizontal="right"/>
    </xf>
    <xf numFmtId="3" fontId="10" fillId="0" borderId="17" xfId="0" applyNumberFormat="1" applyFont="1" applyFill="1" applyBorder="1" applyAlignment="1">
      <alignment horizontal="right"/>
    </xf>
    <xf numFmtId="3" fontId="105" fillId="0" borderId="17" xfId="109" applyNumberFormat="1" applyFont="1" applyFill="1" applyBorder="1" applyAlignment="1">
      <alignment horizontal="right"/>
    </xf>
    <xf numFmtId="166" fontId="105" fillId="33" borderId="17" xfId="0" applyNumberFormat="1" applyFont="1" applyFill="1" applyBorder="1" applyAlignment="1">
      <alignment/>
    </xf>
    <xf numFmtId="166" fontId="105" fillId="33" borderId="19" xfId="0" applyNumberFormat="1" applyFont="1" applyFill="1" applyBorder="1" applyAlignment="1">
      <alignment/>
    </xf>
    <xf numFmtId="3" fontId="1" fillId="0" borderId="22" xfId="0" applyNumberFormat="1" applyFont="1" applyFill="1" applyBorder="1" applyAlignment="1">
      <alignment horizontal="center"/>
    </xf>
    <xf numFmtId="3" fontId="0" fillId="0" borderId="23" xfId="0" applyNumberFormat="1" applyFont="1" applyFill="1" applyBorder="1" applyAlignment="1">
      <alignment horizontal="left"/>
    </xf>
    <xf numFmtId="3" fontId="0" fillId="0" borderId="23" xfId="0" applyNumberFormat="1" applyFont="1" applyFill="1" applyBorder="1" applyAlignment="1">
      <alignment/>
    </xf>
    <xf numFmtId="3" fontId="1" fillId="0" borderId="23" xfId="0" applyNumberFormat="1" applyFont="1" applyFill="1" applyBorder="1" applyAlignment="1">
      <alignment/>
    </xf>
    <xf numFmtId="3" fontId="1" fillId="0" borderId="23" xfId="0" applyNumberFormat="1" applyFont="1" applyFill="1" applyBorder="1" applyAlignment="1">
      <alignment/>
    </xf>
    <xf numFmtId="3" fontId="0" fillId="0" borderId="23" xfId="0" applyNumberFormat="1" applyFont="1" applyFill="1" applyBorder="1" applyAlignment="1">
      <alignment/>
    </xf>
    <xf numFmtId="3" fontId="1" fillId="0" borderId="24" xfId="0" applyNumberFormat="1" applyFont="1" applyBorder="1" applyAlignment="1">
      <alignment/>
    </xf>
    <xf numFmtId="3" fontId="1" fillId="0" borderId="23" xfId="0" applyNumberFormat="1" applyFont="1" applyFill="1" applyBorder="1" applyAlignment="1">
      <alignment horizontal="center"/>
    </xf>
    <xf numFmtId="3" fontId="10" fillId="0" borderId="23" xfId="0" applyNumberFormat="1" applyFont="1" applyFill="1" applyBorder="1" applyAlignment="1">
      <alignment/>
    </xf>
    <xf numFmtId="3" fontId="0" fillId="0" borderId="23" xfId="0" applyNumberFormat="1" applyFont="1" applyFill="1" applyBorder="1" applyAlignment="1">
      <alignment/>
    </xf>
    <xf numFmtId="3" fontId="0" fillId="0" borderId="23" xfId="0" applyNumberFormat="1" applyFont="1" applyFill="1" applyBorder="1" applyAlignment="1">
      <alignment/>
    </xf>
    <xf numFmtId="3" fontId="0" fillId="0" borderId="25" xfId="0" applyNumberFormat="1" applyFont="1" applyFill="1" applyBorder="1" applyAlignment="1">
      <alignment/>
    </xf>
    <xf numFmtId="3" fontId="111" fillId="0" borderId="17" xfId="0" applyNumberFormat="1" applyFont="1" applyFill="1" applyBorder="1" applyAlignment="1">
      <alignment/>
    </xf>
    <xf numFmtId="3" fontId="36" fillId="0" borderId="17" xfId="0" applyNumberFormat="1" applyFont="1" applyFill="1" applyBorder="1" applyAlignment="1">
      <alignment/>
    </xf>
    <xf numFmtId="3" fontId="8" fillId="0" borderId="17" xfId="0" applyNumberFormat="1" applyFont="1" applyFill="1" applyBorder="1" applyAlignment="1">
      <alignment/>
    </xf>
    <xf numFmtId="3" fontId="36" fillId="0" borderId="19" xfId="0" applyNumberFormat="1" applyFont="1" applyFill="1" applyBorder="1" applyAlignment="1">
      <alignment/>
    </xf>
    <xf numFmtId="3" fontId="0" fillId="0" borderId="25" xfId="0" applyNumberFormat="1" applyFont="1" applyBorder="1" applyAlignment="1">
      <alignment/>
    </xf>
    <xf numFmtId="3" fontId="111" fillId="0" borderId="22" xfId="0" applyNumberFormat="1" applyFont="1" applyFill="1" applyBorder="1" applyAlignment="1">
      <alignment horizontal="center"/>
    </xf>
    <xf numFmtId="3" fontId="1" fillId="33" borderId="23" xfId="0" applyNumberFormat="1" applyFont="1" applyFill="1" applyBorder="1" applyAlignment="1">
      <alignment/>
    </xf>
    <xf numFmtId="3" fontId="0" fillId="0" borderId="23" xfId="0" applyNumberFormat="1" applyFont="1" applyBorder="1" applyAlignment="1">
      <alignment/>
    </xf>
    <xf numFmtId="3" fontId="108" fillId="0" borderId="23" xfId="0" applyNumberFormat="1" applyFont="1" applyBorder="1" applyAlignment="1">
      <alignment/>
    </xf>
    <xf numFmtId="3" fontId="108" fillId="0" borderId="23" xfId="0" applyNumberFormat="1" applyFont="1" applyFill="1" applyBorder="1" applyAlignment="1">
      <alignment/>
    </xf>
    <xf numFmtId="3" fontId="113" fillId="0" borderId="23" xfId="0" applyNumberFormat="1" applyFont="1" applyFill="1" applyBorder="1" applyAlignment="1">
      <alignment/>
    </xf>
    <xf numFmtId="3" fontId="1" fillId="33" borderId="24" xfId="0" applyNumberFormat="1" applyFont="1" applyFill="1" applyBorder="1" applyAlignment="1">
      <alignment/>
    </xf>
    <xf numFmtId="3" fontId="108" fillId="0" borderId="22" xfId="0" applyNumberFormat="1" applyFont="1" applyFill="1" applyBorder="1" applyAlignment="1">
      <alignment/>
    </xf>
    <xf numFmtId="3" fontId="111" fillId="0" borderId="23" xfId="0" applyNumberFormat="1" applyFont="1" applyBorder="1" applyAlignment="1">
      <alignment/>
    </xf>
    <xf numFmtId="3" fontId="10" fillId="0" borderId="24" xfId="0" applyNumberFormat="1" applyFont="1" applyBorder="1" applyAlignment="1">
      <alignment/>
    </xf>
    <xf numFmtId="3" fontId="1" fillId="40" borderId="23" xfId="0" applyNumberFormat="1" applyFont="1" applyFill="1" applyBorder="1" applyAlignment="1">
      <alignment/>
    </xf>
    <xf numFmtId="3" fontId="1" fillId="40" borderId="24" xfId="0" applyNumberFormat="1" applyFont="1" applyFill="1" applyBorder="1" applyAlignment="1">
      <alignment/>
    </xf>
    <xf numFmtId="3" fontId="113" fillId="0" borderId="17" xfId="130" applyNumberFormat="1" applyFont="1" applyFill="1" applyBorder="1" applyAlignment="1">
      <alignment/>
    </xf>
    <xf numFmtId="3" fontId="10" fillId="0" borderId="18" xfId="0" applyNumberFormat="1" applyFont="1" applyBorder="1" applyAlignment="1">
      <alignment/>
    </xf>
    <xf numFmtId="3" fontId="111" fillId="0" borderId="17" xfId="0" applyNumberFormat="1" applyFont="1" applyFill="1" applyBorder="1" applyAlignment="1">
      <alignment horizontal="center"/>
    </xf>
    <xf numFmtId="3" fontId="8" fillId="0" borderId="17" xfId="0" applyNumberFormat="1" applyFont="1" applyFill="1" applyBorder="1" applyAlignment="1">
      <alignment horizontal="right"/>
    </xf>
    <xf numFmtId="3" fontId="0" fillId="0" borderId="19" xfId="0" applyNumberFormat="1" applyFont="1" applyFill="1" applyBorder="1" applyAlignment="1">
      <alignment horizontal="right"/>
    </xf>
    <xf numFmtId="3" fontId="36" fillId="40" borderId="17" xfId="0" applyNumberFormat="1" applyFont="1" applyFill="1" applyBorder="1" applyAlignment="1">
      <alignment/>
    </xf>
    <xf numFmtId="3" fontId="8" fillId="0" borderId="17" xfId="0" applyNumberFormat="1" applyFont="1" applyBorder="1" applyAlignment="1">
      <alignment/>
    </xf>
    <xf numFmtId="0" fontId="5" fillId="41" borderId="19" xfId="0" applyNumberFormat="1" applyFont="1" applyFill="1" applyBorder="1" applyAlignment="1">
      <alignment horizontal="center" vertical="center" wrapText="1"/>
    </xf>
    <xf numFmtId="0" fontId="5" fillId="41" borderId="20" xfId="0" applyNumberFormat="1" applyFont="1" applyFill="1" applyBorder="1" applyAlignment="1">
      <alignment horizontal="center" vertical="center" wrapText="1"/>
    </xf>
    <xf numFmtId="0" fontId="5" fillId="41" borderId="20" xfId="0" applyNumberFormat="1" applyFont="1" applyFill="1" applyBorder="1" applyAlignment="1">
      <alignment horizontal="center" vertical="center" wrapText="1"/>
    </xf>
    <xf numFmtId="0" fontId="5" fillId="41" borderId="21" xfId="0" applyNumberFormat="1" applyFont="1" applyFill="1" applyBorder="1" applyAlignment="1">
      <alignment horizontal="center" vertical="center" wrapText="1"/>
    </xf>
    <xf numFmtId="0" fontId="118" fillId="41" borderId="19" xfId="0" applyNumberFormat="1" applyFont="1" applyFill="1" applyBorder="1" applyAlignment="1">
      <alignment horizontal="center" vertical="center" wrapText="1"/>
    </xf>
    <xf numFmtId="0" fontId="118" fillId="41" borderId="20" xfId="0" applyNumberFormat="1" applyFont="1" applyFill="1" applyBorder="1" applyAlignment="1">
      <alignment horizontal="center" vertical="center" wrapText="1"/>
    </xf>
    <xf numFmtId="0" fontId="118" fillId="41" borderId="21" xfId="0" applyNumberFormat="1" applyFont="1" applyFill="1" applyBorder="1" applyAlignment="1">
      <alignment horizontal="center" vertical="center" wrapText="1"/>
    </xf>
    <xf numFmtId="167" fontId="5" fillId="41" borderId="26" xfId="0" applyNumberFormat="1" applyFont="1" applyFill="1" applyBorder="1" applyAlignment="1">
      <alignment horizontal="center" vertical="center"/>
    </xf>
    <xf numFmtId="167" fontId="5" fillId="41" borderId="1" xfId="0" applyNumberFormat="1" applyFont="1" applyFill="1" applyBorder="1" applyAlignment="1">
      <alignment horizontal="center" vertical="center"/>
    </xf>
    <xf numFmtId="167" fontId="5" fillId="41" borderId="25" xfId="0" applyNumberFormat="1" applyFont="1" applyFill="1" applyBorder="1" applyAlignment="1">
      <alignment horizontal="center" vertical="center"/>
    </xf>
    <xf numFmtId="0" fontId="105" fillId="0" borderId="17" xfId="0" applyFont="1" applyFill="1" applyBorder="1" applyAlignment="1">
      <alignment horizontal="right"/>
    </xf>
    <xf numFmtId="3" fontId="105" fillId="0" borderId="19" xfId="109" applyNumberFormat="1" applyFont="1" applyFill="1" applyBorder="1" applyAlignment="1">
      <alignment horizontal="right"/>
    </xf>
    <xf numFmtId="3" fontId="105" fillId="0" borderId="17" xfId="0" applyNumberFormat="1" applyFont="1" applyFill="1" applyBorder="1" applyAlignment="1">
      <alignment horizontal="right"/>
    </xf>
    <xf numFmtId="3" fontId="1" fillId="0" borderId="21" xfId="0" applyNumberFormat="1" applyFont="1" applyFill="1" applyBorder="1" applyAlignment="1">
      <alignment/>
    </xf>
    <xf numFmtId="3" fontId="117" fillId="0" borderId="17" xfId="109" applyNumberFormat="1" applyFont="1" applyFill="1" applyBorder="1" applyAlignment="1">
      <alignment horizontal="right" vertical="center"/>
    </xf>
    <xf numFmtId="3" fontId="1" fillId="0" borderId="19" xfId="0" applyNumberFormat="1" applyFont="1" applyFill="1" applyBorder="1" applyAlignment="1">
      <alignment/>
    </xf>
    <xf numFmtId="3" fontId="105" fillId="0" borderId="20" xfId="109" applyNumberFormat="1" applyFont="1" applyFill="1" applyBorder="1" applyAlignment="1">
      <alignment horizontal="right"/>
    </xf>
    <xf numFmtId="0" fontId="40"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41" fillId="0" borderId="0" xfId="0" applyFont="1" applyFill="1" applyBorder="1" applyAlignment="1">
      <alignment horizontal="center" vertical="center" wrapText="1"/>
    </xf>
    <xf numFmtId="0" fontId="41" fillId="0" borderId="28" xfId="0" applyFont="1" applyFill="1" applyBorder="1" applyAlignment="1">
      <alignment vertical="center"/>
    </xf>
    <xf numFmtId="0" fontId="119" fillId="0" borderId="29" xfId="0" applyFont="1" applyFill="1" applyBorder="1" applyAlignment="1">
      <alignment vertical="center"/>
    </xf>
    <xf numFmtId="0" fontId="42" fillId="0" borderId="22" xfId="0" applyFont="1" applyFill="1" applyBorder="1" applyAlignment="1">
      <alignment vertical="center"/>
    </xf>
    <xf numFmtId="0" fontId="42" fillId="0" borderId="22" xfId="0" applyFont="1" applyFill="1" applyBorder="1" applyAlignment="1">
      <alignment horizontal="center" vertical="center"/>
    </xf>
    <xf numFmtId="0" fontId="45" fillId="0" borderId="22" xfId="0" applyFont="1" applyFill="1" applyBorder="1" applyAlignment="1">
      <alignment horizontal="center" vertical="center"/>
    </xf>
    <xf numFmtId="0" fontId="42" fillId="0" borderId="30" xfId="0" applyFont="1" applyFill="1" applyBorder="1" applyAlignment="1">
      <alignment horizontal="center" vertical="center"/>
    </xf>
    <xf numFmtId="0" fontId="42" fillId="0" borderId="28" xfId="0" applyFont="1" applyFill="1" applyBorder="1" applyAlignment="1">
      <alignment horizontal="center" vertical="center"/>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23" xfId="0" applyFont="1" applyFill="1" applyBorder="1" applyAlignment="1">
      <alignment vertical="center"/>
    </xf>
    <xf numFmtId="3" fontId="120" fillId="0" borderId="23" xfId="0" applyNumberFormat="1" applyFont="1" applyFill="1" applyBorder="1" applyAlignment="1">
      <alignment horizontal="center" vertical="center"/>
    </xf>
    <xf numFmtId="0" fontId="121" fillId="0" borderId="23" xfId="0" applyFont="1" applyFill="1" applyBorder="1" applyAlignment="1">
      <alignment horizontal="center" vertical="center"/>
    </xf>
    <xf numFmtId="166" fontId="42" fillId="0" borderId="32" xfId="0" applyNumberFormat="1" applyFont="1" applyFill="1" applyBorder="1" applyAlignment="1">
      <alignment horizontal="center" vertical="center"/>
    </xf>
    <xf numFmtId="1" fontId="41" fillId="0" borderId="31" xfId="0" applyNumberFormat="1" applyFont="1" applyFill="1" applyBorder="1" applyAlignment="1">
      <alignment horizontal="center" vertical="center"/>
    </xf>
    <xf numFmtId="0" fontId="41" fillId="0" borderId="31" xfId="0" applyFont="1" applyFill="1" applyBorder="1" applyAlignment="1">
      <alignment vertical="center"/>
    </xf>
    <xf numFmtId="0" fontId="42" fillId="0" borderId="10" xfId="0" applyFont="1" applyFill="1" applyBorder="1" applyAlignment="1">
      <alignment vertical="center"/>
    </xf>
    <xf numFmtId="0" fontId="41" fillId="0" borderId="1" xfId="0" applyFont="1" applyFill="1" applyBorder="1" applyAlignment="1">
      <alignment horizontal="center" vertical="center"/>
    </xf>
    <xf numFmtId="0" fontId="41" fillId="0" borderId="1" xfId="0" applyFont="1" applyFill="1" applyBorder="1" applyAlignment="1">
      <alignment vertical="center"/>
    </xf>
    <xf numFmtId="3" fontId="42" fillId="0" borderId="1" xfId="0" applyNumberFormat="1" applyFont="1" applyFill="1" applyBorder="1" applyAlignment="1">
      <alignment horizontal="center" vertical="center"/>
    </xf>
    <xf numFmtId="0" fontId="46" fillId="0" borderId="1" xfId="0" applyFont="1" applyFill="1" applyBorder="1" applyAlignment="1">
      <alignment horizontal="center" vertical="center"/>
    </xf>
    <xf numFmtId="166" fontId="42" fillId="0" borderId="33" xfId="0" applyNumberFormat="1" applyFont="1" applyFill="1" applyBorder="1" applyAlignment="1">
      <alignment horizontal="center" vertical="center"/>
    </xf>
    <xf numFmtId="3" fontId="42" fillId="0" borderId="31" xfId="0" applyNumberFormat="1" applyFont="1" applyFill="1" applyBorder="1" applyAlignment="1">
      <alignment horizontal="center" vertical="center"/>
    </xf>
    <xf numFmtId="0" fontId="42" fillId="0" borderId="0" xfId="0" applyFont="1" applyFill="1" applyBorder="1" applyAlignment="1">
      <alignment vertical="center"/>
    </xf>
    <xf numFmtId="0" fontId="41" fillId="0" borderId="22" xfId="0" applyFont="1" applyFill="1" applyBorder="1" applyAlignment="1">
      <alignment horizontal="center" vertical="center"/>
    </xf>
    <xf numFmtId="0" fontId="41" fillId="0" borderId="22" xfId="0" applyFont="1" applyFill="1" applyBorder="1" applyAlignment="1">
      <alignment vertical="center"/>
    </xf>
    <xf numFmtId="3" fontId="42" fillId="0" borderId="22" xfId="0" applyNumberFormat="1" applyFont="1" applyFill="1" applyBorder="1" applyAlignment="1">
      <alignment horizontal="center" vertical="center"/>
    </xf>
    <xf numFmtId="0" fontId="41" fillId="0" borderId="24" xfId="0" applyFont="1" applyFill="1" applyBorder="1" applyAlignment="1">
      <alignment vertical="center"/>
    </xf>
    <xf numFmtId="0" fontId="41" fillId="0" borderId="24" xfId="0" applyFont="1" applyFill="1" applyBorder="1" applyAlignment="1">
      <alignment horizontal="center" vertical="center"/>
    </xf>
    <xf numFmtId="0" fontId="42" fillId="0" borderId="32" xfId="0" applyFont="1" applyFill="1" applyBorder="1" applyAlignment="1">
      <alignment horizontal="center" vertical="center"/>
    </xf>
    <xf numFmtId="0" fontId="42" fillId="0" borderId="31" xfId="0" applyFont="1" applyFill="1" applyBorder="1" applyAlignment="1">
      <alignment horizontal="center" vertical="center"/>
    </xf>
    <xf numFmtId="0" fontId="41" fillId="0" borderId="10" xfId="0" applyFont="1" applyFill="1" applyBorder="1" applyAlignment="1">
      <alignment vertical="center"/>
    </xf>
    <xf numFmtId="0" fontId="41" fillId="0" borderId="10" xfId="0" applyFont="1" applyFill="1" applyBorder="1" applyAlignment="1">
      <alignment horizontal="center" vertical="center"/>
    </xf>
    <xf numFmtId="3" fontId="42" fillId="0" borderId="10" xfId="0" applyNumberFormat="1" applyFont="1" applyFill="1" applyBorder="1" applyAlignment="1">
      <alignment horizontal="center" vertical="center"/>
    </xf>
    <xf numFmtId="3" fontId="42" fillId="0" borderId="33" xfId="0" applyNumberFormat="1" applyFont="1" applyFill="1" applyBorder="1" applyAlignment="1">
      <alignment horizontal="center" vertical="center"/>
    </xf>
    <xf numFmtId="3" fontId="42" fillId="0" borderId="32" xfId="0" applyNumberFormat="1" applyFont="1" applyFill="1" applyBorder="1" applyAlignment="1">
      <alignment horizontal="center" vertical="center"/>
    </xf>
    <xf numFmtId="0" fontId="47" fillId="0" borderId="34" xfId="0" applyFont="1" applyFill="1" applyBorder="1" applyAlignment="1">
      <alignment horizontal="center" vertical="center"/>
    </xf>
    <xf numFmtId="0" fontId="42" fillId="42" borderId="35" xfId="0" applyFont="1" applyFill="1" applyBorder="1" applyAlignment="1">
      <alignment vertical="center"/>
    </xf>
    <xf numFmtId="0" fontId="41" fillId="42" borderId="36" xfId="0" applyFont="1" applyFill="1" applyBorder="1" applyAlignment="1">
      <alignment vertical="center"/>
    </xf>
    <xf numFmtId="0" fontId="41" fillId="42" borderId="36" xfId="0" applyFont="1" applyFill="1" applyBorder="1" applyAlignment="1">
      <alignment horizontal="center" vertical="center"/>
    </xf>
    <xf numFmtId="4" fontId="42" fillId="42" borderId="36" xfId="0" applyNumberFormat="1" applyFont="1" applyFill="1" applyBorder="1" applyAlignment="1">
      <alignment horizontal="center" vertical="center"/>
    </xf>
    <xf numFmtId="4" fontId="42" fillId="42" borderId="37" xfId="0" applyNumberFormat="1" applyFont="1" applyFill="1" applyBorder="1" applyAlignment="1">
      <alignment horizontal="center" vertical="center"/>
    </xf>
    <xf numFmtId="3" fontId="42" fillId="0" borderId="38" xfId="0" applyNumberFormat="1" applyFont="1" applyFill="1" applyBorder="1" applyAlignment="1">
      <alignment horizontal="center" vertical="center"/>
    </xf>
    <xf numFmtId="3" fontId="42" fillId="0" borderId="0" xfId="0" applyNumberFormat="1" applyFont="1" applyFill="1" applyBorder="1" applyAlignment="1">
      <alignment horizontal="center" vertical="center"/>
    </xf>
    <xf numFmtId="0" fontId="41" fillId="0" borderId="29" xfId="0" applyFont="1" applyFill="1" applyBorder="1" applyAlignment="1">
      <alignment vertical="center"/>
    </xf>
    <xf numFmtId="0" fontId="41" fillId="0" borderId="39" xfId="0" applyFont="1" applyFill="1" applyBorder="1" applyAlignment="1">
      <alignment vertical="center"/>
    </xf>
    <xf numFmtId="0" fontId="41" fillId="0" borderId="39" xfId="0" applyFont="1" applyFill="1" applyBorder="1" applyAlignment="1">
      <alignment horizontal="center" vertical="center"/>
    </xf>
    <xf numFmtId="3" fontId="42" fillId="0" borderId="30" xfId="0" applyNumberFormat="1" applyFont="1" applyFill="1" applyBorder="1" applyAlignment="1">
      <alignment horizontal="center" vertical="center"/>
    </xf>
    <xf numFmtId="0" fontId="41" fillId="0" borderId="40" xfId="0" applyFont="1" applyFill="1" applyBorder="1" applyAlignment="1">
      <alignment vertical="center"/>
    </xf>
    <xf numFmtId="1" fontId="120" fillId="0" borderId="23" xfId="0" applyNumberFormat="1" applyFont="1" applyFill="1" applyBorder="1" applyAlignment="1">
      <alignment horizontal="center" vertical="center"/>
    </xf>
    <xf numFmtId="1" fontId="42" fillId="0" borderId="32" xfId="0" applyNumberFormat="1" applyFont="1" applyFill="1" applyBorder="1" applyAlignment="1">
      <alignment horizontal="center" vertical="center"/>
    </xf>
    <xf numFmtId="3" fontId="41" fillId="0" borderId="31" xfId="0" applyNumberFormat="1" applyFont="1" applyFill="1" applyBorder="1" applyAlignment="1">
      <alignment horizontal="center" vertical="center"/>
    </xf>
    <xf numFmtId="0" fontId="121" fillId="0" borderId="24" xfId="0" applyFont="1" applyFill="1" applyBorder="1" applyAlignment="1">
      <alignment horizontal="center" vertical="center"/>
    </xf>
    <xf numFmtId="1" fontId="42" fillId="0" borderId="31" xfId="0" applyNumberFormat="1" applyFont="1" applyFill="1" applyBorder="1" applyAlignment="1">
      <alignment horizontal="center" vertical="center"/>
    </xf>
    <xf numFmtId="0" fontId="42" fillId="42" borderId="41" xfId="0" applyFont="1" applyFill="1" applyBorder="1" applyAlignment="1">
      <alignment vertical="center"/>
    </xf>
    <xf numFmtId="0" fontId="41" fillId="42" borderId="42" xfId="0" applyFont="1" applyFill="1" applyBorder="1" applyAlignment="1">
      <alignment vertical="center"/>
    </xf>
    <xf numFmtId="0" fontId="41" fillId="42" borderId="42" xfId="0" applyFont="1" applyFill="1" applyBorder="1" applyAlignment="1">
      <alignment horizontal="center" vertical="center"/>
    </xf>
    <xf numFmtId="3" fontId="42" fillId="42" borderId="42" xfId="0" applyNumberFormat="1" applyFont="1" applyFill="1" applyBorder="1" applyAlignment="1">
      <alignment horizontal="center" vertical="center"/>
    </xf>
    <xf numFmtId="3" fontId="42" fillId="42" borderId="43" xfId="0" applyNumberFormat="1" applyFont="1" applyFill="1" applyBorder="1" applyAlignment="1">
      <alignment horizontal="center" vertical="center"/>
    </xf>
    <xf numFmtId="0" fontId="41" fillId="0" borderId="0" xfId="0" applyFont="1" applyFill="1" applyBorder="1" applyAlignment="1">
      <alignment/>
    </xf>
    <xf numFmtId="0" fontId="122" fillId="0" borderId="0" xfId="0" applyFont="1" applyFill="1" applyBorder="1" applyAlignment="1">
      <alignment/>
    </xf>
    <xf numFmtId="0" fontId="42" fillId="0" borderId="0" xfId="0" applyFont="1" applyFill="1" applyBorder="1" applyAlignment="1">
      <alignment/>
    </xf>
    <xf numFmtId="0" fontId="43" fillId="0" borderId="0" xfId="0" applyFont="1" applyFill="1" applyBorder="1" applyAlignment="1">
      <alignment/>
    </xf>
    <xf numFmtId="0" fontId="44" fillId="0" borderId="0" xfId="0" applyFont="1" applyFill="1" applyBorder="1" applyAlignment="1">
      <alignment/>
    </xf>
    <xf numFmtId="0" fontId="41" fillId="0" borderId="0" xfId="0" applyFont="1" applyFill="1" applyBorder="1" applyAlignment="1">
      <alignment horizontal="center"/>
    </xf>
    <xf numFmtId="0" fontId="41" fillId="0" borderId="44" xfId="0" applyFont="1" applyFill="1" applyBorder="1" applyAlignment="1">
      <alignment/>
    </xf>
    <xf numFmtId="0" fontId="41" fillId="0" borderId="27" xfId="0" applyFont="1" applyFill="1" applyBorder="1" applyAlignment="1">
      <alignment/>
    </xf>
    <xf numFmtId="0" fontId="41" fillId="0" borderId="39" xfId="0" applyFont="1" applyFill="1" applyBorder="1" applyAlignment="1">
      <alignment/>
    </xf>
    <xf numFmtId="0" fontId="41" fillId="0" borderId="39" xfId="0" applyFont="1" applyFill="1" applyBorder="1" applyAlignment="1">
      <alignment horizontal="center"/>
    </xf>
    <xf numFmtId="0" fontId="46" fillId="0" borderId="39" xfId="0" applyFont="1" applyFill="1" applyBorder="1" applyAlignment="1">
      <alignment horizontal="center"/>
    </xf>
    <xf numFmtId="168" fontId="42" fillId="0" borderId="45" xfId="0" applyNumberFormat="1" applyFont="1" applyFill="1" applyBorder="1" applyAlignment="1">
      <alignment horizontal="center"/>
    </xf>
    <xf numFmtId="168" fontId="42" fillId="0" borderId="31" xfId="0" applyNumberFormat="1" applyFont="1" applyFill="1" applyBorder="1" applyAlignment="1">
      <alignment horizontal="center" vertical="center"/>
    </xf>
    <xf numFmtId="0" fontId="41" fillId="0" borderId="44" xfId="0" applyFont="1" applyFill="1" applyBorder="1" applyAlignment="1">
      <alignment horizontal="center"/>
    </xf>
    <xf numFmtId="0" fontId="41" fillId="0" borderId="30" xfId="0" applyFont="1" applyFill="1" applyBorder="1" applyAlignment="1">
      <alignment horizontal="center"/>
    </xf>
    <xf numFmtId="0" fontId="41" fillId="0" borderId="40" xfId="0" applyFont="1" applyFill="1" applyBorder="1" applyAlignment="1">
      <alignment horizontal="center"/>
    </xf>
    <xf numFmtId="0" fontId="41" fillId="0" borderId="46" xfId="0" applyFont="1" applyFill="1" applyBorder="1" applyAlignment="1">
      <alignment/>
    </xf>
    <xf numFmtId="0" fontId="41" fillId="0" borderId="23" xfId="0" applyFont="1" applyFill="1" applyBorder="1" applyAlignment="1">
      <alignment horizontal="center"/>
    </xf>
    <xf numFmtId="0" fontId="41" fillId="0" borderId="23" xfId="0" applyFont="1" applyFill="1" applyBorder="1" applyAlignment="1">
      <alignment/>
    </xf>
    <xf numFmtId="207" fontId="120" fillId="0" borderId="23" xfId="0" applyNumberFormat="1" applyFont="1" applyFill="1" applyBorder="1" applyAlignment="1">
      <alignment horizontal="center"/>
    </xf>
    <xf numFmtId="1" fontId="121" fillId="0" borderId="23" xfId="0" applyNumberFormat="1" applyFont="1" applyFill="1" applyBorder="1" applyAlignment="1">
      <alignment horizontal="center"/>
    </xf>
    <xf numFmtId="4" fontId="42" fillId="0" borderId="47" xfId="0" applyNumberFormat="1" applyFont="1" applyFill="1" applyBorder="1" applyAlignment="1">
      <alignment horizontal="center"/>
    </xf>
    <xf numFmtId="0" fontId="41" fillId="0" borderId="32" xfId="0" applyFont="1" applyFill="1" applyBorder="1" applyAlignment="1">
      <alignment horizontal="center"/>
    </xf>
    <xf numFmtId="207" fontId="41" fillId="0" borderId="0" xfId="0" applyNumberFormat="1" applyFont="1" applyFill="1" applyBorder="1" applyAlignment="1">
      <alignment/>
    </xf>
    <xf numFmtId="0" fontId="121" fillId="0" borderId="23" xfId="0" applyFont="1" applyFill="1" applyBorder="1" applyAlignment="1">
      <alignment horizontal="center"/>
    </xf>
    <xf numFmtId="0" fontId="41" fillId="43" borderId="23" xfId="0" applyFont="1" applyFill="1" applyBorder="1" applyAlignment="1">
      <alignment/>
    </xf>
    <xf numFmtId="0" fontId="41" fillId="0" borderId="0" xfId="0" applyFont="1" applyFill="1" applyBorder="1" applyAlignment="1">
      <alignment horizontal="left" vertical="center"/>
    </xf>
    <xf numFmtId="2" fontId="41" fillId="0" borderId="32" xfId="0" applyNumberFormat="1" applyFont="1" applyFill="1" applyBorder="1" applyAlignment="1">
      <alignment horizontal="center"/>
    </xf>
    <xf numFmtId="2" fontId="41" fillId="0" borderId="40" xfId="0" applyNumberFormat="1" applyFont="1" applyFill="1" applyBorder="1" applyAlignment="1">
      <alignment horizontal="center"/>
    </xf>
    <xf numFmtId="1" fontId="41" fillId="0" borderId="40" xfId="0" applyNumberFormat="1" applyFont="1" applyFill="1" applyBorder="1" applyAlignment="1">
      <alignment horizontal="center"/>
    </xf>
    <xf numFmtId="0" fontId="41" fillId="43" borderId="40" xfId="0" applyFont="1" applyFill="1" applyBorder="1" applyAlignment="1">
      <alignment horizontal="center"/>
    </xf>
    <xf numFmtId="0" fontId="41" fillId="43" borderId="46" xfId="0" applyFont="1" applyFill="1" applyBorder="1" applyAlignment="1">
      <alignment/>
    </xf>
    <xf numFmtId="0" fontId="41" fillId="43" borderId="23" xfId="0" applyFont="1" applyFill="1" applyBorder="1" applyAlignment="1">
      <alignment horizontal="center"/>
    </xf>
    <xf numFmtId="1" fontId="121" fillId="43" borderId="23" xfId="0" applyNumberFormat="1" applyFont="1" applyFill="1" applyBorder="1" applyAlignment="1">
      <alignment horizontal="center"/>
    </xf>
    <xf numFmtId="4" fontId="42" fillId="43" borderId="47" xfId="0" applyNumberFormat="1" applyFont="1" applyFill="1" applyBorder="1" applyAlignment="1">
      <alignment horizontal="center"/>
    </xf>
    <xf numFmtId="1" fontId="41" fillId="43" borderId="31" xfId="0" applyNumberFormat="1" applyFont="1" applyFill="1" applyBorder="1" applyAlignment="1">
      <alignment horizontal="center" vertical="center"/>
    </xf>
    <xf numFmtId="0" fontId="41" fillId="43" borderId="0" xfId="0" applyFont="1" applyFill="1" applyBorder="1" applyAlignment="1">
      <alignment horizontal="left" vertical="center"/>
    </xf>
    <xf numFmtId="0" fontId="41" fillId="43" borderId="0" xfId="0" applyFont="1" applyFill="1" applyBorder="1" applyAlignment="1">
      <alignment/>
    </xf>
    <xf numFmtId="2" fontId="41" fillId="43" borderId="32" xfId="0" applyNumberFormat="1" applyFont="1" applyFill="1" applyBorder="1" applyAlignment="1">
      <alignment horizontal="center"/>
    </xf>
    <xf numFmtId="2" fontId="41" fillId="43" borderId="40" xfId="0" applyNumberFormat="1" applyFont="1" applyFill="1" applyBorder="1" applyAlignment="1">
      <alignment horizontal="center"/>
    </xf>
    <xf numFmtId="0" fontId="41" fillId="0" borderId="40" xfId="0" applyFont="1" applyFill="1" applyBorder="1" applyAlignment="1">
      <alignment/>
    </xf>
    <xf numFmtId="0" fontId="41" fillId="0" borderId="48" xfId="0" applyFont="1" applyFill="1" applyBorder="1" applyAlignment="1">
      <alignment/>
    </xf>
    <xf numFmtId="0" fontId="41" fillId="0" borderId="24" xfId="0" applyFont="1" applyFill="1" applyBorder="1" applyAlignment="1">
      <alignment horizontal="center"/>
    </xf>
    <xf numFmtId="0" fontId="41" fillId="0" borderId="24" xfId="0" applyFont="1" applyFill="1" applyBorder="1" applyAlignment="1">
      <alignment/>
    </xf>
    <xf numFmtId="2" fontId="120" fillId="0" borderId="24" xfId="0" applyNumberFormat="1" applyFont="1" applyFill="1" applyBorder="1" applyAlignment="1">
      <alignment horizontal="center"/>
    </xf>
    <xf numFmtId="1" fontId="121" fillId="0" borderId="24" xfId="0" applyNumberFormat="1" applyFont="1" applyFill="1" applyBorder="1" applyAlignment="1">
      <alignment horizontal="center"/>
    </xf>
    <xf numFmtId="4" fontId="42" fillId="0" borderId="49" xfId="0" applyNumberFormat="1" applyFont="1" applyFill="1" applyBorder="1" applyAlignment="1">
      <alignment horizontal="center"/>
    </xf>
    <xf numFmtId="0" fontId="42" fillId="0" borderId="50" xfId="0" applyFont="1" applyFill="1" applyBorder="1" applyAlignment="1">
      <alignment horizontal="center"/>
    </xf>
    <xf numFmtId="0" fontId="42" fillId="0" borderId="50" xfId="0" applyFont="1" applyFill="1" applyBorder="1" applyAlignment="1">
      <alignment/>
    </xf>
    <xf numFmtId="0" fontId="41" fillId="0" borderId="10" xfId="0" applyFont="1" applyFill="1" applyBorder="1" applyAlignment="1">
      <alignment/>
    </xf>
    <xf numFmtId="0" fontId="41" fillId="0" borderId="10" xfId="0" applyFont="1" applyFill="1" applyBorder="1" applyAlignment="1">
      <alignment horizontal="center"/>
    </xf>
    <xf numFmtId="2" fontId="41" fillId="0" borderId="10" xfId="0" applyNumberFormat="1" applyFont="1" applyFill="1" applyBorder="1" applyAlignment="1">
      <alignment horizontal="center"/>
    </xf>
    <xf numFmtId="4" fontId="42" fillId="0" borderId="33" xfId="0" applyNumberFormat="1" applyFont="1" applyFill="1" applyBorder="1" applyAlignment="1">
      <alignment horizontal="center"/>
    </xf>
    <xf numFmtId="0" fontId="41" fillId="0" borderId="22" xfId="0" applyFont="1" applyFill="1" applyBorder="1" applyAlignment="1">
      <alignment/>
    </xf>
    <xf numFmtId="0" fontId="41" fillId="0" borderId="25" xfId="0" applyFont="1" applyFill="1" applyBorder="1" applyAlignment="1">
      <alignment/>
    </xf>
    <xf numFmtId="2" fontId="41" fillId="0" borderId="25" xfId="0" applyNumberFormat="1" applyFont="1" applyFill="1" applyBorder="1" applyAlignment="1">
      <alignment horizontal="center"/>
    </xf>
    <xf numFmtId="0" fontId="41" fillId="0" borderId="25" xfId="0" applyFont="1" applyFill="1" applyBorder="1" applyAlignment="1">
      <alignment horizontal="center"/>
    </xf>
    <xf numFmtId="4" fontId="41" fillId="0" borderId="32" xfId="0" applyNumberFormat="1" applyFont="1" applyFill="1" applyBorder="1" applyAlignment="1">
      <alignment horizontal="center"/>
    </xf>
    <xf numFmtId="0" fontId="41" fillId="0" borderId="18" xfId="0" applyFont="1" applyFill="1" applyBorder="1" applyAlignment="1">
      <alignment/>
    </xf>
    <xf numFmtId="2" fontId="120" fillId="0" borderId="18" xfId="0" applyNumberFormat="1" applyFont="1" applyFill="1" applyBorder="1" applyAlignment="1">
      <alignment horizontal="center"/>
    </xf>
    <xf numFmtId="0" fontId="121" fillId="0" borderId="18" xfId="0" applyFont="1" applyFill="1" applyBorder="1" applyAlignment="1">
      <alignment horizontal="center"/>
    </xf>
    <xf numFmtId="4" fontId="42" fillId="0" borderId="32" xfId="0" applyNumberFormat="1" applyFont="1" applyFill="1" applyBorder="1" applyAlignment="1">
      <alignment horizontal="center"/>
    </xf>
    <xf numFmtId="0" fontId="41" fillId="0" borderId="40" xfId="0" applyFont="1" applyFill="1" applyBorder="1" applyAlignment="1">
      <alignment horizontal="center" vertical="center"/>
    </xf>
    <xf numFmtId="2" fontId="41" fillId="0" borderId="0" xfId="0" applyNumberFormat="1" applyFont="1" applyFill="1" applyBorder="1" applyAlignment="1">
      <alignment/>
    </xf>
    <xf numFmtId="0" fontId="41" fillId="0" borderId="21" xfId="0" applyFont="1" applyFill="1" applyBorder="1" applyAlignment="1">
      <alignment/>
    </xf>
    <xf numFmtId="2" fontId="120" fillId="0" borderId="21" xfId="0" applyNumberFormat="1" applyFont="1" applyFill="1" applyBorder="1" applyAlignment="1">
      <alignment horizontal="center"/>
    </xf>
    <xf numFmtId="0" fontId="121" fillId="0" borderId="21" xfId="0" applyFont="1" applyFill="1" applyBorder="1" applyAlignment="1">
      <alignment horizontal="center"/>
    </xf>
    <xf numFmtId="0" fontId="42" fillId="42" borderId="36" xfId="0" applyFont="1" applyFill="1" applyBorder="1" applyAlignment="1">
      <alignment/>
    </xf>
    <xf numFmtId="0" fontId="41" fillId="42" borderId="36" xfId="0" applyFont="1" applyFill="1" applyBorder="1" applyAlignment="1">
      <alignment/>
    </xf>
    <xf numFmtId="0" fontId="41" fillId="42" borderId="36" xfId="0" applyFont="1" applyFill="1" applyBorder="1" applyAlignment="1">
      <alignment horizontal="center"/>
    </xf>
    <xf numFmtId="206" fontId="42" fillId="42" borderId="36" xfId="0" applyNumberFormat="1" applyFont="1" applyFill="1" applyBorder="1" applyAlignment="1">
      <alignment horizontal="center"/>
    </xf>
    <xf numFmtId="206" fontId="42" fillId="42" borderId="37" xfId="0" applyNumberFormat="1" applyFont="1" applyFill="1" applyBorder="1" applyAlignment="1">
      <alignment horizontal="center"/>
    </xf>
    <xf numFmtId="0" fontId="42" fillId="42" borderId="35" xfId="0" applyFont="1" applyFill="1" applyBorder="1" applyAlignment="1">
      <alignment horizontal="center"/>
    </xf>
    <xf numFmtId="2" fontId="42" fillId="42" borderId="37" xfId="0" applyNumberFormat="1" applyFont="1" applyFill="1" applyBorder="1" applyAlignment="1">
      <alignment horizontal="center"/>
    </xf>
    <xf numFmtId="0" fontId="119" fillId="0" borderId="0" xfId="0" applyFont="1" applyFill="1" applyBorder="1" applyAlignment="1">
      <alignment horizontal="center"/>
    </xf>
    <xf numFmtId="1" fontId="41" fillId="0" borderId="31" xfId="0" applyNumberFormat="1" applyFont="1" applyFill="1" applyBorder="1" applyAlignment="1">
      <alignment/>
    </xf>
    <xf numFmtId="0" fontId="41" fillId="0" borderId="31" xfId="0" applyFont="1" applyFill="1" applyBorder="1" applyAlignment="1">
      <alignment/>
    </xf>
    <xf numFmtId="1" fontId="41" fillId="0" borderId="0" xfId="0" applyNumberFormat="1" applyFont="1" applyFill="1" applyBorder="1" applyAlignment="1">
      <alignment/>
    </xf>
    <xf numFmtId="1" fontId="41" fillId="0" borderId="51" xfId="0" applyNumberFormat="1" applyFont="1" applyFill="1" applyBorder="1" applyAlignment="1">
      <alignment/>
    </xf>
    <xf numFmtId="0" fontId="41" fillId="0" borderId="51" xfId="0" applyFont="1" applyFill="1" applyBorder="1" applyAlignment="1">
      <alignment/>
    </xf>
    <xf numFmtId="0" fontId="41" fillId="0" borderId="52" xfId="0" applyFont="1" applyFill="1" applyBorder="1" applyAlignment="1">
      <alignment/>
    </xf>
    <xf numFmtId="1" fontId="41" fillId="0" borderId="38" xfId="0" applyNumberFormat="1" applyFont="1" applyFill="1" applyBorder="1" applyAlignment="1">
      <alignment/>
    </xf>
    <xf numFmtId="0" fontId="41" fillId="0" borderId="38" xfId="0" applyFont="1" applyFill="1" applyBorder="1" applyAlignment="1">
      <alignment/>
    </xf>
    <xf numFmtId="0" fontId="42" fillId="0" borderId="0" xfId="0" applyFont="1" applyFill="1" applyBorder="1" applyAlignment="1">
      <alignment horizontal="center"/>
    </xf>
    <xf numFmtId="0" fontId="42" fillId="0" borderId="0" xfId="0" applyFont="1" applyFill="1" applyBorder="1" applyAlignment="1">
      <alignment wrapText="1"/>
    </xf>
    <xf numFmtId="0" fontId="42" fillId="0" borderId="0" xfId="0" applyFont="1" applyFill="1" applyBorder="1" applyAlignment="1">
      <alignment horizontal="center" wrapText="1"/>
    </xf>
    <xf numFmtId="0" fontId="42" fillId="0" borderId="47" xfId="0" applyFont="1" applyFill="1" applyBorder="1" applyAlignment="1">
      <alignment vertical="center"/>
    </xf>
    <xf numFmtId="0" fontId="42" fillId="0" borderId="32" xfId="0" applyFont="1" applyFill="1" applyBorder="1" applyAlignment="1">
      <alignment horizontal="center"/>
    </xf>
    <xf numFmtId="0" fontId="42" fillId="44" borderId="53" xfId="0" applyFont="1" applyFill="1" applyBorder="1" applyAlignment="1">
      <alignment/>
    </xf>
    <xf numFmtId="0" fontId="41" fillId="0" borderId="46" xfId="121" applyFont="1" applyFill="1" applyBorder="1">
      <alignment/>
      <protection/>
    </xf>
    <xf numFmtId="0" fontId="41" fillId="0" borderId="23" xfId="121" applyFont="1" applyFill="1" applyBorder="1">
      <alignment/>
      <protection/>
    </xf>
    <xf numFmtId="0" fontId="41" fillId="0" borderId="23" xfId="121" applyFont="1" applyFill="1" applyBorder="1" applyAlignment="1">
      <alignment horizontal="center"/>
      <protection/>
    </xf>
    <xf numFmtId="169" fontId="120" fillId="0" borderId="23" xfId="115" applyNumberFormat="1" applyFont="1" applyFill="1" applyBorder="1" applyAlignment="1">
      <alignment vertical="center"/>
    </xf>
    <xf numFmtId="0" fontId="121" fillId="0" borderId="23" xfId="0" applyFont="1" applyFill="1" applyBorder="1" applyAlignment="1">
      <alignment vertical="center"/>
    </xf>
    <xf numFmtId="207" fontId="42" fillId="0" borderId="47" xfId="0" applyNumberFormat="1" applyFont="1" applyFill="1" applyBorder="1" applyAlignment="1">
      <alignment vertical="center"/>
    </xf>
    <xf numFmtId="1" fontId="41" fillId="0" borderId="32" xfId="0" applyNumberFormat="1" applyFont="1" applyFill="1" applyBorder="1" applyAlignment="1">
      <alignment horizontal="center"/>
    </xf>
    <xf numFmtId="169" fontId="120" fillId="0" borderId="23" xfId="121" applyNumberFormat="1" applyFont="1" applyFill="1" applyBorder="1" applyAlignment="1">
      <alignment vertical="center"/>
      <protection/>
    </xf>
    <xf numFmtId="0" fontId="121" fillId="0" borderId="23" xfId="121" applyFont="1" applyFill="1" applyBorder="1" applyAlignment="1">
      <alignment vertical="center"/>
      <protection/>
    </xf>
    <xf numFmtId="207" fontId="42" fillId="0" borderId="47" xfId="121" applyNumberFormat="1" applyFont="1" applyFill="1" applyBorder="1" applyAlignment="1">
      <alignment vertical="center"/>
      <protection/>
    </xf>
    <xf numFmtId="166" fontId="42" fillId="0" borderId="47" xfId="0" applyNumberFormat="1" applyFont="1" applyFill="1" applyBorder="1" applyAlignment="1">
      <alignment vertical="center"/>
    </xf>
    <xf numFmtId="0" fontId="41" fillId="0" borderId="54" xfId="0" applyFont="1" applyFill="1" applyBorder="1" applyAlignment="1">
      <alignment/>
    </xf>
    <xf numFmtId="0" fontId="41" fillId="0" borderId="55" xfId="0" applyFont="1" applyFill="1" applyBorder="1" applyAlignment="1">
      <alignment/>
    </xf>
    <xf numFmtId="0" fontId="41" fillId="0" borderId="55" xfId="0" applyFont="1" applyFill="1" applyBorder="1" applyAlignment="1">
      <alignment horizontal="center"/>
    </xf>
    <xf numFmtId="169" fontId="41" fillId="0" borderId="55" xfId="0" applyNumberFormat="1" applyFont="1" applyFill="1" applyBorder="1" applyAlignment="1">
      <alignment vertical="center"/>
    </xf>
    <xf numFmtId="41" fontId="46" fillId="0" borderId="55" xfId="0" applyNumberFormat="1" applyFont="1" applyFill="1" applyBorder="1" applyAlignment="1">
      <alignment vertical="center"/>
    </xf>
    <xf numFmtId="166" fontId="42" fillId="0" borderId="56" xfId="0" applyNumberFormat="1" applyFont="1" applyFill="1" applyBorder="1" applyAlignment="1">
      <alignment vertical="center"/>
    </xf>
    <xf numFmtId="41" fontId="42" fillId="0" borderId="32" xfId="0" applyNumberFormat="1" applyFont="1" applyFill="1" applyBorder="1" applyAlignment="1">
      <alignment horizontal="center"/>
    </xf>
    <xf numFmtId="0" fontId="47" fillId="0" borderId="34" xfId="0" applyFont="1" applyFill="1" applyBorder="1" applyAlignment="1">
      <alignment horizontal="center"/>
    </xf>
    <xf numFmtId="0" fontId="42" fillId="45" borderId="36" xfId="0" applyFont="1" applyFill="1" applyBorder="1" applyAlignment="1">
      <alignment/>
    </xf>
    <xf numFmtId="0" fontId="41" fillId="45" borderId="36" xfId="0" applyFont="1" applyFill="1" applyBorder="1" applyAlignment="1">
      <alignment/>
    </xf>
    <xf numFmtId="169" fontId="42" fillId="45" borderId="36" xfId="0" applyNumberFormat="1" applyFont="1" applyFill="1" applyBorder="1" applyAlignment="1">
      <alignment vertical="center"/>
    </xf>
    <xf numFmtId="41" fontId="45" fillId="45" borderId="36" xfId="0" applyNumberFormat="1" applyFont="1" applyFill="1" applyBorder="1" applyAlignment="1">
      <alignment vertical="center"/>
    </xf>
    <xf numFmtId="2" fontId="42" fillId="45" borderId="37" xfId="0" applyNumberFormat="1" applyFont="1" applyFill="1" applyBorder="1" applyAlignment="1">
      <alignment vertical="center"/>
    </xf>
    <xf numFmtId="41" fontId="42" fillId="0" borderId="57" xfId="0" applyNumberFormat="1" applyFont="1" applyFill="1" applyBorder="1" applyAlignment="1">
      <alignment horizontal="center"/>
    </xf>
    <xf numFmtId="169" fontId="41" fillId="0" borderId="0" xfId="0" applyNumberFormat="1" applyFont="1" applyFill="1" applyBorder="1" applyAlignment="1">
      <alignment vertical="center"/>
    </xf>
    <xf numFmtId="41" fontId="46" fillId="0" borderId="0" xfId="0" applyNumberFormat="1" applyFont="1" applyFill="1" applyBorder="1" applyAlignment="1">
      <alignment vertical="center"/>
    </xf>
    <xf numFmtId="166" fontId="42" fillId="0" borderId="0" xfId="0" applyNumberFormat="1" applyFont="1" applyFill="1" applyBorder="1" applyAlignment="1">
      <alignment vertical="center"/>
    </xf>
    <xf numFmtId="41" fontId="42" fillId="0" borderId="0" xfId="0" applyNumberFormat="1" applyFont="1" applyFill="1" applyBorder="1" applyAlignment="1">
      <alignment horizontal="center"/>
    </xf>
    <xf numFmtId="0" fontId="119" fillId="0" borderId="39" xfId="0" applyFont="1" applyFill="1" applyBorder="1" applyAlignment="1">
      <alignment/>
    </xf>
    <xf numFmtId="169" fontId="41" fillId="0" borderId="39" xfId="0" applyNumberFormat="1" applyFont="1" applyFill="1" applyBorder="1" applyAlignment="1">
      <alignment vertical="center"/>
    </xf>
    <xf numFmtId="41" fontId="46" fillId="0" borderId="39" xfId="0" applyNumberFormat="1" applyFont="1" applyFill="1" applyBorder="1" applyAlignment="1">
      <alignment vertical="center"/>
    </xf>
    <xf numFmtId="166" fontId="42" fillId="0" borderId="30" xfId="0" applyNumberFormat="1" applyFont="1" applyFill="1" applyBorder="1" applyAlignment="1">
      <alignment vertical="center"/>
    </xf>
    <xf numFmtId="41" fontId="42" fillId="0" borderId="28" xfId="0" applyNumberFormat="1" applyFont="1" applyFill="1" applyBorder="1" applyAlignment="1">
      <alignment horizontal="center"/>
    </xf>
    <xf numFmtId="169" fontId="41" fillId="0" borderId="23" xfId="0" applyNumberFormat="1" applyFont="1" applyFill="1" applyBorder="1" applyAlignment="1">
      <alignment vertical="center"/>
    </xf>
    <xf numFmtId="41" fontId="46" fillId="0" borderId="23" xfId="0" applyNumberFormat="1" applyFont="1" applyFill="1" applyBorder="1" applyAlignment="1">
      <alignment vertical="center"/>
    </xf>
    <xf numFmtId="166" fontId="42" fillId="0" borderId="32" xfId="0" applyNumberFormat="1" applyFont="1" applyFill="1" applyBorder="1" applyAlignment="1">
      <alignment vertical="center"/>
    </xf>
    <xf numFmtId="41" fontId="42" fillId="0" borderId="31" xfId="0" applyNumberFormat="1" applyFont="1" applyFill="1" applyBorder="1" applyAlignment="1">
      <alignment horizontal="center"/>
    </xf>
    <xf numFmtId="0" fontId="41" fillId="0" borderId="40" xfId="121" applyFont="1" applyFill="1" applyBorder="1" applyAlignment="1" quotePrefix="1">
      <alignment horizontal="left"/>
      <protection/>
    </xf>
    <xf numFmtId="3" fontId="41" fillId="0" borderId="31" xfId="0" applyNumberFormat="1" applyFont="1" applyFill="1" applyBorder="1" applyAlignment="1">
      <alignment horizontal="center"/>
    </xf>
    <xf numFmtId="0" fontId="41" fillId="0" borderId="40" xfId="121" applyFont="1" applyFill="1" applyBorder="1">
      <alignment/>
      <protection/>
    </xf>
    <xf numFmtId="0" fontId="41" fillId="0" borderId="24" xfId="121" applyFont="1" applyFill="1" applyBorder="1">
      <alignment/>
      <protection/>
    </xf>
    <xf numFmtId="169" fontId="120" fillId="0" borderId="24" xfId="115" applyNumberFormat="1" applyFont="1" applyFill="1" applyBorder="1" applyAlignment="1">
      <alignment vertical="center"/>
    </xf>
    <xf numFmtId="0" fontId="121" fillId="0" borderId="24" xfId="0" applyFont="1" applyFill="1" applyBorder="1" applyAlignment="1">
      <alignment vertical="center"/>
    </xf>
    <xf numFmtId="1" fontId="42" fillId="0" borderId="31" xfId="0" applyNumberFormat="1" applyFont="1" applyFill="1" applyBorder="1" applyAlignment="1">
      <alignment horizontal="center"/>
    </xf>
    <xf numFmtId="0" fontId="47" fillId="0" borderId="58" xfId="0" applyFont="1" applyFill="1" applyBorder="1" applyAlignment="1">
      <alignment horizontal="center"/>
    </xf>
    <xf numFmtId="0" fontId="42" fillId="0" borderId="41" xfId="0" applyFont="1" applyFill="1" applyBorder="1" applyAlignment="1">
      <alignment/>
    </xf>
    <xf numFmtId="0" fontId="42" fillId="0" borderId="42" xfId="0" applyFont="1" applyFill="1" applyBorder="1" applyAlignment="1">
      <alignment/>
    </xf>
    <xf numFmtId="0" fontId="41" fillId="0" borderId="42" xfId="0" applyFont="1" applyFill="1" applyBorder="1" applyAlignment="1">
      <alignment/>
    </xf>
    <xf numFmtId="169" fontId="42" fillId="0" borderId="42" xfId="0" applyNumberFormat="1" applyFont="1" applyFill="1" applyBorder="1" applyAlignment="1">
      <alignment vertical="center"/>
    </xf>
    <xf numFmtId="0" fontId="41" fillId="0" borderId="42" xfId="0" applyFont="1" applyFill="1" applyBorder="1" applyAlignment="1">
      <alignment vertical="center"/>
    </xf>
    <xf numFmtId="4" fontId="42" fillId="0" borderId="43" xfId="0" applyNumberFormat="1" applyFont="1" applyFill="1" applyBorder="1" applyAlignment="1">
      <alignment vertical="center"/>
    </xf>
    <xf numFmtId="41" fontId="42" fillId="0" borderId="38" xfId="0" applyNumberFormat="1" applyFont="1" applyFill="1" applyBorder="1" applyAlignment="1">
      <alignment horizontal="center"/>
    </xf>
    <xf numFmtId="168" fontId="41" fillId="0" borderId="0" xfId="0" applyNumberFormat="1" applyFont="1" applyFill="1" applyBorder="1" applyAlignment="1">
      <alignment vertical="center"/>
    </xf>
    <xf numFmtId="0" fontId="46" fillId="0" borderId="0" xfId="0" applyFont="1" applyFill="1" applyBorder="1" applyAlignment="1">
      <alignment vertical="center"/>
    </xf>
    <xf numFmtId="168" fontId="42" fillId="0" borderId="0" xfId="0" applyNumberFormat="1" applyFont="1" applyFill="1" applyBorder="1" applyAlignment="1">
      <alignment vertical="center"/>
    </xf>
    <xf numFmtId="168" fontId="42" fillId="0" borderId="0" xfId="0" applyNumberFormat="1" applyFont="1" applyFill="1" applyBorder="1" applyAlignment="1">
      <alignment horizontal="center"/>
    </xf>
    <xf numFmtId="0" fontId="42" fillId="0" borderId="39" xfId="0" applyFont="1" applyFill="1" applyBorder="1" applyAlignment="1">
      <alignment/>
    </xf>
    <xf numFmtId="168" fontId="41" fillId="0" borderId="39" xfId="0" applyNumberFormat="1" applyFont="1" applyFill="1" applyBorder="1" applyAlignment="1">
      <alignment vertical="center"/>
    </xf>
    <xf numFmtId="0" fontId="46" fillId="0" borderId="39" xfId="0" applyFont="1" applyFill="1" applyBorder="1" applyAlignment="1">
      <alignment vertical="center"/>
    </xf>
    <xf numFmtId="168" fontId="42" fillId="0" borderId="30" xfId="0" applyNumberFormat="1" applyFont="1" applyFill="1" applyBorder="1" applyAlignment="1">
      <alignment vertical="center"/>
    </xf>
    <xf numFmtId="168" fontId="42" fillId="0" borderId="28" xfId="0" applyNumberFormat="1" applyFont="1" applyFill="1" applyBorder="1" applyAlignment="1">
      <alignment horizontal="center"/>
    </xf>
    <xf numFmtId="3" fontId="41" fillId="0" borderId="23" xfId="0" applyNumberFormat="1" applyFont="1" applyFill="1" applyBorder="1" applyAlignment="1">
      <alignment vertical="center"/>
    </xf>
    <xf numFmtId="0" fontId="46" fillId="0" borderId="23" xfId="0" applyFont="1" applyFill="1" applyBorder="1" applyAlignment="1">
      <alignment vertical="center"/>
    </xf>
    <xf numFmtId="168" fontId="42" fillId="0" borderId="32" xfId="0" applyNumberFormat="1" applyFont="1" applyFill="1" applyBorder="1" applyAlignment="1">
      <alignment vertical="center"/>
    </xf>
    <xf numFmtId="168" fontId="42" fillId="0" borderId="31" xfId="0" applyNumberFormat="1" applyFont="1" applyFill="1" applyBorder="1" applyAlignment="1">
      <alignment horizontal="center"/>
    </xf>
    <xf numFmtId="168" fontId="120" fillId="0" borderId="23" xfId="0" applyNumberFormat="1" applyFont="1" applyFill="1" applyBorder="1" applyAlignment="1">
      <alignment vertical="center"/>
    </xf>
    <xf numFmtId="4" fontId="42" fillId="0" borderId="32" xfId="0" applyNumberFormat="1" applyFont="1" applyFill="1" applyBorder="1" applyAlignment="1">
      <alignment vertical="center"/>
    </xf>
    <xf numFmtId="1" fontId="41" fillId="0" borderId="31" xfId="0" applyNumberFormat="1" applyFont="1" applyFill="1" applyBorder="1" applyAlignment="1">
      <alignment horizontal="center"/>
    </xf>
    <xf numFmtId="2" fontId="121" fillId="0" borderId="23" xfId="0" applyNumberFormat="1" applyFont="1" applyFill="1" applyBorder="1" applyAlignment="1">
      <alignment vertical="center"/>
    </xf>
    <xf numFmtId="168" fontId="120" fillId="0" borderId="24" xfId="0" applyNumberFormat="1" applyFont="1" applyFill="1" applyBorder="1" applyAlignment="1">
      <alignment vertical="center"/>
    </xf>
    <xf numFmtId="2" fontId="121" fillId="0" borderId="24" xfId="0" applyNumberFormat="1" applyFont="1" applyFill="1" applyBorder="1" applyAlignment="1">
      <alignment vertical="center"/>
    </xf>
    <xf numFmtId="3" fontId="42" fillId="0" borderId="31" xfId="0" applyNumberFormat="1" applyFont="1" applyFill="1" applyBorder="1" applyAlignment="1">
      <alignment horizontal="center"/>
    </xf>
    <xf numFmtId="0" fontId="42" fillId="45" borderId="41" xfId="0" applyFont="1" applyFill="1" applyBorder="1" applyAlignment="1">
      <alignment/>
    </xf>
    <xf numFmtId="0" fontId="42" fillId="45" borderId="42" xfId="0" applyFont="1" applyFill="1" applyBorder="1" applyAlignment="1">
      <alignment/>
    </xf>
    <xf numFmtId="169" fontId="42" fillId="45" borderId="59" xfId="0" applyNumberFormat="1" applyFont="1" applyFill="1" applyBorder="1" applyAlignment="1">
      <alignment vertical="center"/>
    </xf>
    <xf numFmtId="168" fontId="42" fillId="45" borderId="43" xfId="0" applyNumberFormat="1" applyFont="1" applyFill="1" applyBorder="1" applyAlignment="1">
      <alignment/>
    </xf>
    <xf numFmtId="3" fontId="42" fillId="0" borderId="38" xfId="0" applyNumberFormat="1" applyFont="1" applyFill="1" applyBorder="1" applyAlignment="1">
      <alignment horizontal="center"/>
    </xf>
    <xf numFmtId="3" fontId="41" fillId="0" borderId="0" xfId="0" applyNumberFormat="1" applyFont="1" applyFill="1" applyBorder="1" applyAlignment="1">
      <alignment/>
    </xf>
    <xf numFmtId="0" fontId="42" fillId="45" borderId="35" xfId="0" applyFont="1" applyFill="1" applyBorder="1" applyAlignment="1">
      <alignment/>
    </xf>
    <xf numFmtId="168" fontId="42" fillId="45" borderId="36" xfId="0" applyNumberFormat="1" applyFont="1" applyFill="1" applyBorder="1" applyAlignment="1">
      <alignment/>
    </xf>
    <xf numFmtId="168" fontId="42" fillId="45" borderId="37" xfId="0" applyNumberFormat="1" applyFont="1" applyFill="1" applyBorder="1" applyAlignment="1">
      <alignment/>
    </xf>
    <xf numFmtId="0" fontId="41" fillId="0" borderId="0" xfId="0" applyFont="1" applyFill="1" applyBorder="1" applyAlignment="1">
      <alignment/>
    </xf>
    <xf numFmtId="0" fontId="123" fillId="0" borderId="0" xfId="0" applyFont="1" applyFill="1" applyBorder="1" applyAlignment="1">
      <alignment vertical="center"/>
    </xf>
    <xf numFmtId="0" fontId="48" fillId="0" borderId="0" xfId="0" applyFont="1" applyFill="1" applyBorder="1" applyAlignment="1">
      <alignment vertical="center"/>
    </xf>
    <xf numFmtId="0" fontId="42" fillId="0" borderId="0" xfId="0" applyFont="1" applyFill="1" applyBorder="1" applyAlignment="1">
      <alignment horizontal="center" vertical="center" wrapText="1"/>
    </xf>
    <xf numFmtId="0" fontId="45" fillId="0" borderId="0" xfId="0" applyFont="1" applyFill="1" applyBorder="1" applyAlignment="1">
      <alignment horizontal="center"/>
    </xf>
    <xf numFmtId="0" fontId="119" fillId="0" borderId="44" xfId="0" applyFont="1" applyFill="1" applyBorder="1" applyAlignment="1">
      <alignment vertical="center"/>
    </xf>
    <xf numFmtId="0" fontId="42" fillId="0" borderId="29" xfId="0" applyFont="1" applyFill="1" applyBorder="1" applyAlignment="1">
      <alignment vertical="center"/>
    </xf>
    <xf numFmtId="0" fontId="42" fillId="0" borderId="29" xfId="0" applyFont="1" applyFill="1" applyBorder="1" applyAlignment="1">
      <alignment horizontal="center" vertical="center"/>
    </xf>
    <xf numFmtId="0" fontId="45" fillId="0" borderId="29" xfId="0" applyFont="1" applyFill="1" applyBorder="1" applyAlignment="1">
      <alignment horizontal="center" vertical="center"/>
    </xf>
    <xf numFmtId="14" fontId="41" fillId="0" borderId="0" xfId="0" applyNumberFormat="1" applyFont="1" applyFill="1" applyBorder="1" applyAlignment="1">
      <alignment horizontal="center" vertical="center"/>
    </xf>
    <xf numFmtId="0" fontId="41" fillId="0" borderId="0" xfId="121" applyFont="1" applyFill="1" applyBorder="1">
      <alignment/>
      <protection/>
    </xf>
    <xf numFmtId="168" fontId="120" fillId="0" borderId="0" xfId="0" applyNumberFormat="1" applyFont="1" applyFill="1" applyBorder="1" applyAlignment="1">
      <alignment horizontal="center" vertical="center"/>
    </xf>
    <xf numFmtId="0" fontId="121" fillId="0" borderId="0" xfId="0" applyFont="1" applyFill="1" applyBorder="1" applyAlignment="1">
      <alignment horizontal="center" vertical="center"/>
    </xf>
    <xf numFmtId="207" fontId="42" fillId="0" borderId="32" xfId="0" applyNumberFormat="1" applyFont="1" applyFill="1" applyBorder="1" applyAlignment="1">
      <alignment horizontal="center" vertical="center"/>
    </xf>
    <xf numFmtId="3" fontId="120" fillId="0" borderId="0" xfId="0" applyNumberFormat="1" applyFont="1" applyFill="1" applyBorder="1" applyAlignment="1">
      <alignment horizontal="center" vertical="center"/>
    </xf>
    <xf numFmtId="0" fontId="41" fillId="0" borderId="60" xfId="0" applyFont="1" applyFill="1" applyBorder="1" applyAlignment="1">
      <alignment vertical="center"/>
    </xf>
    <xf numFmtId="0" fontId="41" fillId="0" borderId="20" xfId="0" applyFont="1" applyFill="1" applyBorder="1" applyAlignment="1">
      <alignment horizontal="center" vertical="center"/>
    </xf>
    <xf numFmtId="0" fontId="41" fillId="0" borderId="20" xfId="121" applyFont="1" applyFill="1" applyBorder="1">
      <alignment/>
      <protection/>
    </xf>
    <xf numFmtId="3" fontId="120" fillId="0" borderId="20" xfId="0" applyNumberFormat="1" applyFont="1" applyFill="1" applyBorder="1" applyAlignment="1">
      <alignment horizontal="center" vertical="center"/>
    </xf>
    <xf numFmtId="0" fontId="121" fillId="0" borderId="20" xfId="0" applyFont="1" applyFill="1" applyBorder="1" applyAlignment="1">
      <alignment horizontal="center" vertical="center"/>
    </xf>
    <xf numFmtId="166" fontId="42" fillId="0" borderId="61" xfId="0" applyNumberFormat="1" applyFont="1" applyFill="1" applyBorder="1" applyAlignment="1">
      <alignment horizontal="center" vertical="center"/>
    </xf>
    <xf numFmtId="0" fontId="47" fillId="0" borderId="53" xfId="0" applyFont="1" applyFill="1" applyBorder="1" applyAlignment="1">
      <alignment horizontal="center"/>
    </xf>
    <xf numFmtId="0" fontId="42" fillId="45" borderId="59" xfId="0" applyFont="1" applyFill="1" applyBorder="1" applyAlignment="1">
      <alignment vertical="center"/>
    </xf>
    <xf numFmtId="0" fontId="41" fillId="45" borderId="59" xfId="0" applyFont="1" applyFill="1" applyBorder="1" applyAlignment="1">
      <alignment horizontal="center" vertical="center"/>
    </xf>
    <xf numFmtId="0" fontId="41" fillId="45" borderId="59" xfId="0" applyFont="1" applyFill="1" applyBorder="1" applyAlignment="1">
      <alignment vertical="center"/>
    </xf>
    <xf numFmtId="168" fontId="42" fillId="45" borderId="59" xfId="0" applyNumberFormat="1" applyFont="1" applyFill="1" applyBorder="1" applyAlignment="1">
      <alignment horizontal="center" vertical="center"/>
    </xf>
    <xf numFmtId="0" fontId="46" fillId="45" borderId="59" xfId="0" applyFont="1" applyFill="1" applyBorder="1" applyAlignment="1">
      <alignment horizontal="center" vertical="center"/>
    </xf>
    <xf numFmtId="168" fontId="42" fillId="45" borderId="57" xfId="0" applyNumberFormat="1" applyFont="1" applyFill="1" applyBorder="1" applyAlignment="1">
      <alignment horizontal="center" vertical="center"/>
    </xf>
    <xf numFmtId="0" fontId="46" fillId="0" borderId="0" xfId="0" applyFont="1" applyFill="1" applyBorder="1" applyAlignment="1">
      <alignment horizontal="center"/>
    </xf>
    <xf numFmtId="168" fontId="42" fillId="0" borderId="0" xfId="0" applyNumberFormat="1" applyFont="1" applyFill="1" applyBorder="1" applyAlignment="1">
      <alignment horizontal="center" vertical="center"/>
    </xf>
    <xf numFmtId="0" fontId="41" fillId="0" borderId="39" xfId="0" applyFont="1" applyFill="1" applyBorder="1" applyAlignment="1">
      <alignment horizontal="center" wrapText="1"/>
    </xf>
    <xf numFmtId="2" fontId="120" fillId="0" borderId="39" xfId="0" applyNumberFormat="1" applyFont="1" applyFill="1" applyBorder="1" applyAlignment="1">
      <alignment horizontal="center"/>
    </xf>
    <xf numFmtId="1" fontId="121" fillId="0" borderId="39" xfId="0" applyNumberFormat="1" applyFont="1" applyFill="1" applyBorder="1" applyAlignment="1">
      <alignment horizontal="center"/>
    </xf>
    <xf numFmtId="4" fontId="42" fillId="0" borderId="45" xfId="0" applyNumberFormat="1" applyFont="1" applyFill="1" applyBorder="1" applyAlignment="1">
      <alignment horizontal="center"/>
    </xf>
    <xf numFmtId="1" fontId="41" fillId="0" borderId="28" xfId="0" applyNumberFormat="1" applyFont="1" applyFill="1" applyBorder="1" applyAlignment="1">
      <alignment horizontal="center" vertical="center"/>
    </xf>
    <xf numFmtId="0" fontId="42" fillId="0" borderId="52" xfId="0" applyFont="1" applyFill="1" applyBorder="1" applyAlignment="1">
      <alignment/>
    </xf>
    <xf numFmtId="0" fontId="41" fillId="0" borderId="59" xfId="0" applyFont="1" applyFill="1" applyBorder="1" applyAlignment="1">
      <alignment/>
    </xf>
    <xf numFmtId="0" fontId="41" fillId="0" borderId="59" xfId="0" applyFont="1" applyFill="1" applyBorder="1" applyAlignment="1">
      <alignment horizontal="center"/>
    </xf>
    <xf numFmtId="0" fontId="0" fillId="0" borderId="59" xfId="0" applyFont="1" applyFill="1" applyBorder="1" applyAlignment="1">
      <alignment/>
    </xf>
    <xf numFmtId="2" fontId="41" fillId="0" borderId="59" xfId="0" applyNumberFormat="1" applyFont="1" applyFill="1" applyBorder="1" applyAlignment="1">
      <alignment horizontal="center"/>
    </xf>
    <xf numFmtId="4" fontId="42" fillId="0" borderId="57" xfId="0" applyNumberFormat="1" applyFont="1" applyFill="1" applyBorder="1" applyAlignment="1">
      <alignment horizontal="center"/>
    </xf>
    <xf numFmtId="0" fontId="41" fillId="0" borderId="29" xfId="0" applyFont="1" applyFill="1" applyBorder="1" applyAlignment="1">
      <alignment/>
    </xf>
    <xf numFmtId="0" fontId="41" fillId="0" borderId="29" xfId="0" applyFont="1" applyFill="1" applyBorder="1" applyAlignment="1">
      <alignment horizontal="center"/>
    </xf>
    <xf numFmtId="168" fontId="41" fillId="0" borderId="29" xfId="0" applyNumberFormat="1" applyFont="1" applyFill="1" applyBorder="1" applyAlignment="1">
      <alignment vertical="center"/>
    </xf>
    <xf numFmtId="0" fontId="46" fillId="0" borderId="29" xfId="0" applyFont="1" applyFill="1" applyBorder="1" applyAlignment="1">
      <alignment vertical="center"/>
    </xf>
    <xf numFmtId="3" fontId="41" fillId="0" borderId="0" xfId="0" applyNumberFormat="1" applyFont="1" applyFill="1" applyBorder="1" applyAlignment="1">
      <alignment vertical="center"/>
    </xf>
    <xf numFmtId="14" fontId="41" fillId="0" borderId="0" xfId="0" applyNumberFormat="1" applyFont="1" applyFill="1" applyBorder="1" applyAlignment="1">
      <alignment horizontal="center"/>
    </xf>
    <xf numFmtId="0" fontId="41" fillId="0" borderId="0" xfId="121" applyFont="1" applyFill="1" applyBorder="1" applyAlignment="1">
      <alignment horizontal="center"/>
      <protection/>
    </xf>
    <xf numFmtId="168" fontId="120" fillId="0" borderId="0" xfId="0" applyNumberFormat="1" applyFont="1" applyFill="1" applyBorder="1" applyAlignment="1">
      <alignment vertical="center"/>
    </xf>
    <xf numFmtId="0" fontId="121" fillId="0" borderId="0" xfId="0" applyFont="1" applyFill="1" applyBorder="1" applyAlignment="1">
      <alignment vertical="center"/>
    </xf>
    <xf numFmtId="212" fontId="42" fillId="0" borderId="32" xfId="0" applyNumberFormat="1" applyFont="1" applyFill="1" applyBorder="1" applyAlignment="1">
      <alignment vertical="center"/>
    </xf>
    <xf numFmtId="168" fontId="120" fillId="0" borderId="20" xfId="0" applyNumberFormat="1" applyFont="1" applyFill="1" applyBorder="1" applyAlignment="1">
      <alignment vertical="center"/>
    </xf>
    <xf numFmtId="2" fontId="121" fillId="0" borderId="0" xfId="0" applyNumberFormat="1" applyFont="1" applyFill="1" applyBorder="1" applyAlignment="1">
      <alignment vertical="center"/>
    </xf>
    <xf numFmtId="0" fontId="42" fillId="45" borderId="42" xfId="0" applyFont="1" applyFill="1" applyBorder="1" applyAlignment="1">
      <alignment horizontal="center"/>
    </xf>
    <xf numFmtId="0" fontId="41" fillId="45" borderId="42" xfId="0" applyFont="1" applyFill="1" applyBorder="1" applyAlignment="1">
      <alignment/>
    </xf>
    <xf numFmtId="212" fontId="42" fillId="45" borderId="43" xfId="0" applyNumberFormat="1" applyFont="1" applyFill="1" applyBorder="1" applyAlignment="1">
      <alignment/>
    </xf>
    <xf numFmtId="0" fontId="0" fillId="0" borderId="40" xfId="0" applyFont="1" applyFill="1" applyBorder="1" applyAlignment="1">
      <alignment horizontal="center"/>
    </xf>
    <xf numFmtId="0" fontId="0" fillId="0" borderId="28" xfId="0" applyFont="1" applyFill="1" applyBorder="1" applyAlignment="1">
      <alignment/>
    </xf>
    <xf numFmtId="168" fontId="41" fillId="0" borderId="32" xfId="0" applyNumberFormat="1" applyFont="1" applyFill="1" applyBorder="1" applyAlignment="1">
      <alignment vertical="center"/>
    </xf>
    <xf numFmtId="0" fontId="0" fillId="0" borderId="32" xfId="0" applyFont="1" applyFill="1" applyBorder="1" applyAlignment="1">
      <alignment/>
    </xf>
    <xf numFmtId="0" fontId="0" fillId="0" borderId="31" xfId="0" applyFont="1" applyFill="1" applyBorder="1" applyAlignment="1">
      <alignment/>
    </xf>
    <xf numFmtId="169" fontId="42" fillId="45" borderId="42" xfId="0" applyNumberFormat="1" applyFont="1" applyFill="1" applyBorder="1" applyAlignment="1">
      <alignment vertical="center"/>
    </xf>
    <xf numFmtId="0" fontId="0" fillId="0" borderId="0" xfId="0" applyFont="1" applyFill="1" applyBorder="1" applyAlignment="1">
      <alignment horizontal="center"/>
    </xf>
    <xf numFmtId="0" fontId="42" fillId="45" borderId="36" xfId="0" applyFont="1" applyFill="1" applyBorder="1" applyAlignment="1">
      <alignment horizontal="center"/>
    </xf>
    <xf numFmtId="169" fontId="42" fillId="45" borderId="37" xfId="0" applyNumberFormat="1" applyFont="1" applyFill="1" applyBorder="1" applyAlignment="1">
      <alignment vertical="center"/>
    </xf>
    <xf numFmtId="3" fontId="42" fillId="0" borderId="40" xfId="0" applyNumberFormat="1" applyFont="1" applyFill="1" applyBorder="1" applyAlignment="1">
      <alignment horizontal="center"/>
    </xf>
    <xf numFmtId="0" fontId="41" fillId="0" borderId="28" xfId="0" applyFont="1" applyFill="1" applyBorder="1" applyAlignment="1">
      <alignment horizontal="left" vertical="center"/>
    </xf>
    <xf numFmtId="166" fontId="0" fillId="0" borderId="0" xfId="0" applyNumberFormat="1" applyFont="1" applyFill="1" applyBorder="1" applyAlignment="1">
      <alignment horizontal="center"/>
    </xf>
    <xf numFmtId="0" fontId="0" fillId="0" borderId="32" xfId="0" applyFont="1" applyFill="1" applyBorder="1" applyAlignment="1">
      <alignment horizontal="center"/>
    </xf>
    <xf numFmtId="166" fontId="0" fillId="0" borderId="40" xfId="0" applyNumberFormat="1" applyFont="1" applyFill="1" applyBorder="1" applyAlignment="1">
      <alignment horizontal="center"/>
    </xf>
    <xf numFmtId="0" fontId="46" fillId="0" borderId="31" xfId="0" applyFont="1" applyFill="1" applyBorder="1" applyAlignment="1">
      <alignment horizontal="right" vertical="center"/>
    </xf>
    <xf numFmtId="166" fontId="10" fillId="0" borderId="0" xfId="0" applyNumberFormat="1" applyFont="1" applyFill="1" applyBorder="1" applyAlignment="1">
      <alignment/>
    </xf>
    <xf numFmtId="166" fontId="10" fillId="0" borderId="40" xfId="0" applyNumberFormat="1" applyFont="1" applyFill="1" applyBorder="1" applyAlignment="1">
      <alignment/>
    </xf>
    <xf numFmtId="0" fontId="10" fillId="0" borderId="32" xfId="0" applyFont="1" applyFill="1" applyBorder="1" applyAlignment="1">
      <alignment/>
    </xf>
    <xf numFmtId="0" fontId="46" fillId="0" borderId="31" xfId="0" applyFont="1" applyFill="1" applyBorder="1" applyAlignment="1" quotePrefix="1">
      <alignment horizontal="right" vertical="center"/>
    </xf>
    <xf numFmtId="166" fontId="0" fillId="0" borderId="40" xfId="0" applyNumberFormat="1" applyFont="1" applyFill="1" applyBorder="1" applyAlignment="1">
      <alignment/>
    </xf>
    <xf numFmtId="0" fontId="41" fillId="0" borderId="31" xfId="0" applyFont="1" applyFill="1" applyBorder="1" applyAlignment="1">
      <alignment horizontal="left" vertical="center"/>
    </xf>
    <xf numFmtId="166" fontId="0" fillId="0" borderId="0" xfId="0" applyNumberFormat="1" applyFont="1" applyFill="1" applyBorder="1" applyAlignment="1">
      <alignment/>
    </xf>
    <xf numFmtId="0" fontId="42" fillId="42" borderId="35" xfId="0" applyFont="1" applyFill="1" applyBorder="1" applyAlignment="1">
      <alignment horizontal="left" vertical="center"/>
    </xf>
    <xf numFmtId="166" fontId="1" fillId="42" borderId="35" xfId="0" applyNumberFormat="1" applyFont="1" applyFill="1" applyBorder="1" applyAlignment="1">
      <alignment horizontal="center"/>
    </xf>
    <xf numFmtId="0" fontId="1" fillId="42" borderId="37" xfId="0" applyFont="1" applyFill="1" applyBorder="1" applyAlignment="1">
      <alignment horizontal="center"/>
    </xf>
    <xf numFmtId="3" fontId="41" fillId="0" borderId="0" xfId="0" applyNumberFormat="1" applyFont="1" applyFill="1" applyBorder="1" applyAlignment="1">
      <alignment horizontal="center" vertical="center"/>
    </xf>
    <xf numFmtId="4" fontId="41" fillId="0" borderId="0" xfId="0" applyNumberFormat="1" applyFont="1" applyFill="1" applyBorder="1" applyAlignment="1">
      <alignment horizontal="center" vertical="center"/>
    </xf>
    <xf numFmtId="0" fontId="42" fillId="45" borderId="53" xfId="0" applyFont="1" applyFill="1" applyBorder="1" applyAlignment="1">
      <alignment horizontal="left" vertical="center"/>
    </xf>
    <xf numFmtId="3" fontId="42" fillId="45" borderId="53" xfId="0" applyNumberFormat="1" applyFont="1" applyFill="1" applyBorder="1" applyAlignment="1">
      <alignment horizontal="center" vertical="center"/>
    </xf>
    <xf numFmtId="0" fontId="41" fillId="0" borderId="35" xfId="0" applyFont="1" applyFill="1" applyBorder="1" applyAlignment="1">
      <alignment horizontal="left" vertical="center"/>
    </xf>
    <xf numFmtId="1" fontId="41" fillId="0" borderId="53" xfId="0" applyNumberFormat="1" applyFont="1" applyFill="1" applyBorder="1" applyAlignment="1">
      <alignment horizontal="center" vertical="center"/>
    </xf>
    <xf numFmtId="0" fontId="41" fillId="0" borderId="37" xfId="0" applyFont="1" applyFill="1" applyBorder="1" applyAlignment="1">
      <alignment horizontal="center" vertical="center"/>
    </xf>
    <xf numFmtId="0" fontId="0" fillId="0" borderId="31" xfId="0" applyFont="1" applyFill="1" applyBorder="1" applyAlignment="1">
      <alignment horizontal="center"/>
    </xf>
    <xf numFmtId="166" fontId="41" fillId="0" borderId="31" xfId="0" applyNumberFormat="1" applyFont="1" applyFill="1" applyBorder="1" applyAlignment="1">
      <alignment horizontal="center"/>
    </xf>
    <xf numFmtId="0" fontId="119" fillId="46" borderId="53" xfId="0" applyFont="1" applyFill="1" applyBorder="1" applyAlignment="1">
      <alignment horizontal="center" vertical="center" wrapText="1"/>
    </xf>
    <xf numFmtId="0" fontId="119" fillId="46" borderId="29" xfId="0" applyFont="1" applyFill="1" applyBorder="1" applyAlignment="1">
      <alignment horizontal="center" vertical="center" wrapText="1"/>
    </xf>
    <xf numFmtId="0" fontId="124" fillId="46" borderId="29" xfId="0" applyFont="1" applyFill="1" applyBorder="1" applyAlignment="1">
      <alignment horizontal="center" vertical="center" wrapText="1"/>
    </xf>
    <xf numFmtId="0" fontId="119" fillId="46" borderId="30" xfId="0" applyFont="1" applyFill="1" applyBorder="1" applyAlignment="1">
      <alignment horizontal="center" vertical="center" wrapText="1"/>
    </xf>
    <xf numFmtId="0" fontId="119" fillId="46" borderId="28" xfId="0" applyFont="1" applyFill="1" applyBorder="1" applyAlignment="1">
      <alignment horizontal="center" vertical="center" wrapText="1"/>
    </xf>
    <xf numFmtId="0" fontId="119" fillId="46" borderId="53" xfId="0" applyFont="1" applyFill="1" applyBorder="1" applyAlignment="1">
      <alignment vertical="center"/>
    </xf>
    <xf numFmtId="0" fontId="125" fillId="46" borderId="29" xfId="0" applyFont="1" applyFill="1" applyBorder="1" applyAlignment="1">
      <alignment vertical="center"/>
    </xf>
    <xf numFmtId="0" fontId="125" fillId="46" borderId="30" xfId="0" applyFont="1" applyFill="1" applyBorder="1" applyAlignment="1">
      <alignment horizontal="center" vertical="center"/>
    </xf>
    <xf numFmtId="0" fontId="119" fillId="46" borderId="35" xfId="0" applyFont="1" applyFill="1" applyBorder="1" applyAlignment="1">
      <alignment horizontal="center" vertical="center" wrapText="1"/>
    </xf>
    <xf numFmtId="0" fontId="119" fillId="46" borderId="36" xfId="0" applyFont="1" applyFill="1" applyBorder="1" applyAlignment="1">
      <alignment horizontal="center" vertical="center" wrapText="1"/>
    </xf>
    <xf numFmtId="0" fontId="124" fillId="46" borderId="36" xfId="0" applyFont="1" applyFill="1" applyBorder="1" applyAlignment="1">
      <alignment horizontal="center" vertical="center" wrapText="1"/>
    </xf>
    <xf numFmtId="0" fontId="119" fillId="46" borderId="37" xfId="0" applyFont="1" applyFill="1" applyBorder="1" applyAlignment="1">
      <alignment horizontal="center" vertical="center" wrapText="1"/>
    </xf>
    <xf numFmtId="0" fontId="119" fillId="46" borderId="35" xfId="0" applyFont="1" applyFill="1" applyBorder="1" applyAlignment="1">
      <alignment horizontal="center"/>
    </xf>
    <xf numFmtId="0" fontId="119" fillId="46" borderId="53" xfId="0" applyFont="1" applyFill="1" applyBorder="1" applyAlignment="1">
      <alignment horizontal="center"/>
    </xf>
    <xf numFmtId="0" fontId="119" fillId="46" borderId="53" xfId="0" applyFont="1" applyFill="1" applyBorder="1" applyAlignment="1">
      <alignment horizontal="center" vertical="center"/>
    </xf>
    <xf numFmtId="0" fontId="119" fillId="46" borderId="28" xfId="0" applyFont="1" applyFill="1" applyBorder="1" applyAlignment="1">
      <alignment horizontal="center" vertical="center"/>
    </xf>
    <xf numFmtId="0" fontId="124" fillId="46" borderId="28" xfId="0" applyFont="1" applyFill="1" applyBorder="1" applyAlignment="1">
      <alignment horizontal="center" vertical="center" wrapText="1"/>
    </xf>
    <xf numFmtId="0" fontId="119" fillId="46" borderId="35" xfId="0" applyFont="1" applyFill="1" applyBorder="1" applyAlignment="1">
      <alignment/>
    </xf>
    <xf numFmtId="0" fontId="93" fillId="46" borderId="35" xfId="0" applyFont="1" applyFill="1" applyBorder="1" applyAlignment="1">
      <alignment/>
    </xf>
    <xf numFmtId="0" fontId="119" fillId="46" borderId="44" xfId="0" applyFont="1" applyFill="1" applyBorder="1" applyAlignment="1">
      <alignment horizontal="center" vertical="center" wrapText="1"/>
    </xf>
    <xf numFmtId="0" fontId="119" fillId="46" borderId="0" xfId="0" applyFont="1" applyFill="1" applyBorder="1" applyAlignment="1">
      <alignment horizontal="center" vertical="center"/>
    </xf>
    <xf numFmtId="0" fontId="119" fillId="46" borderId="0" xfId="0" applyFont="1" applyFill="1" applyBorder="1" applyAlignment="1">
      <alignment horizontal="center" vertical="center" wrapText="1"/>
    </xf>
    <xf numFmtId="0" fontId="124" fillId="46" borderId="0" xfId="0" applyFont="1" applyFill="1" applyBorder="1" applyAlignment="1">
      <alignment horizontal="center" vertical="center" wrapText="1"/>
    </xf>
    <xf numFmtId="0" fontId="119" fillId="46" borderId="44" xfId="0" applyFont="1" applyFill="1" applyBorder="1" applyAlignment="1">
      <alignment horizontal="center" vertical="center"/>
    </xf>
    <xf numFmtId="0" fontId="119" fillId="46" borderId="52" xfId="0" applyFont="1" applyFill="1" applyBorder="1" applyAlignment="1">
      <alignment horizontal="center" vertical="center"/>
    </xf>
    <xf numFmtId="0" fontId="119" fillId="46" borderId="57" xfId="0" applyFont="1" applyFill="1" applyBorder="1" applyAlignment="1">
      <alignment horizontal="center" vertical="center"/>
    </xf>
    <xf numFmtId="0" fontId="119" fillId="46" borderId="36" xfId="0" applyFont="1" applyFill="1" applyBorder="1" applyAlignment="1">
      <alignment horizontal="center" vertical="center"/>
    </xf>
    <xf numFmtId="3" fontId="4" fillId="39" borderId="22" xfId="0" applyNumberFormat="1" applyFont="1" applyFill="1" applyBorder="1" applyAlignment="1">
      <alignment horizontal="center" vertical="center"/>
    </xf>
    <xf numFmtId="3" fontId="4" fillId="39" borderId="24" xfId="0" applyNumberFormat="1" applyFont="1" applyFill="1" applyBorder="1" applyAlignment="1">
      <alignment horizontal="center" vertical="center"/>
    </xf>
    <xf numFmtId="3" fontId="4" fillId="39" borderId="26" xfId="0" applyNumberFormat="1" applyFont="1" applyFill="1" applyBorder="1" applyAlignment="1">
      <alignment horizontal="center" vertical="center"/>
    </xf>
    <xf numFmtId="3" fontId="4" fillId="39" borderId="19" xfId="0" applyNumberFormat="1" applyFont="1" applyFill="1" applyBorder="1" applyAlignment="1">
      <alignment horizontal="center" vertical="center"/>
    </xf>
    <xf numFmtId="3" fontId="1" fillId="41" borderId="26" xfId="0" applyNumberFormat="1" applyFont="1" applyFill="1" applyBorder="1" applyAlignment="1">
      <alignment horizontal="center"/>
    </xf>
    <xf numFmtId="3" fontId="1" fillId="41" borderId="1" xfId="0" applyNumberFormat="1" applyFont="1" applyFill="1" applyBorder="1" applyAlignment="1">
      <alignment horizontal="center"/>
    </xf>
    <xf numFmtId="3" fontId="1" fillId="41" borderId="25" xfId="0" applyNumberFormat="1" applyFont="1" applyFill="1" applyBorder="1" applyAlignment="1">
      <alignment horizontal="center"/>
    </xf>
    <xf numFmtId="3" fontId="118" fillId="41" borderId="26" xfId="0" applyNumberFormat="1" applyFont="1" applyFill="1" applyBorder="1" applyAlignment="1">
      <alignment horizontal="center"/>
    </xf>
    <xf numFmtId="3" fontId="118" fillId="41" borderId="1" xfId="0" applyNumberFormat="1" applyFont="1" applyFill="1" applyBorder="1" applyAlignment="1">
      <alignment horizontal="center"/>
    </xf>
    <xf numFmtId="3" fontId="118" fillId="41" borderId="25" xfId="0" applyNumberFormat="1" applyFont="1" applyFill="1" applyBorder="1" applyAlignment="1">
      <alignment horizontal="center"/>
    </xf>
    <xf numFmtId="0" fontId="4" fillId="39" borderId="22" xfId="0" applyFont="1" applyFill="1" applyBorder="1" applyAlignment="1">
      <alignment horizontal="center" vertical="center"/>
    </xf>
    <xf numFmtId="0" fontId="4" fillId="39" borderId="24" xfId="0" applyFont="1" applyFill="1" applyBorder="1" applyAlignment="1">
      <alignment horizontal="center" vertical="center"/>
    </xf>
    <xf numFmtId="167" fontId="5" fillId="41" borderId="19" xfId="0" applyNumberFormat="1" applyFont="1" applyFill="1" applyBorder="1" applyAlignment="1">
      <alignment horizontal="center" vertical="center"/>
    </xf>
    <xf numFmtId="167" fontId="5" fillId="41" borderId="20" xfId="0" applyNumberFormat="1" applyFont="1" applyFill="1" applyBorder="1" applyAlignment="1">
      <alignment horizontal="center" vertical="center"/>
    </xf>
    <xf numFmtId="0" fontId="119" fillId="46" borderId="35" xfId="0" applyFont="1" applyFill="1" applyBorder="1" applyAlignment="1">
      <alignment horizontal="center" vertical="center" wrapText="1"/>
    </xf>
    <xf numFmtId="0" fontId="119" fillId="46" borderId="37" xfId="0" applyFont="1" applyFill="1" applyBorder="1" applyAlignment="1">
      <alignment horizontal="center" vertical="center" wrapText="1"/>
    </xf>
    <xf numFmtId="0" fontId="119" fillId="46" borderId="36" xfId="0" applyFont="1" applyFill="1" applyBorder="1" applyAlignment="1">
      <alignment horizontal="center" vertical="center" wrapText="1"/>
    </xf>
    <xf numFmtId="0" fontId="119" fillId="46" borderId="44" xfId="0" applyFont="1" applyFill="1" applyBorder="1" applyAlignment="1">
      <alignment horizontal="center" vertical="center"/>
    </xf>
    <xf numFmtId="0" fontId="119" fillId="46" borderId="30" xfId="0" applyFont="1" applyFill="1" applyBorder="1" applyAlignment="1">
      <alignment horizontal="center" vertical="center"/>
    </xf>
    <xf numFmtId="3" fontId="1" fillId="0" borderId="20" xfId="109" applyNumberFormat="1" applyFont="1" applyFill="1" applyBorder="1" applyAlignment="1">
      <alignment vertical="center"/>
    </xf>
    <xf numFmtId="4" fontId="6" fillId="0" borderId="0" xfId="109" applyNumberFormat="1" applyFont="1" applyFill="1" applyBorder="1" applyAlignment="1">
      <alignment vertical="center"/>
    </xf>
    <xf numFmtId="3" fontId="117" fillId="0" borderId="0" xfId="109" applyNumberFormat="1" applyFont="1" applyFill="1" applyBorder="1" applyAlignment="1">
      <alignment horizontal="right"/>
    </xf>
    <xf numFmtId="0" fontId="105" fillId="0" borderId="0" xfId="0" applyFont="1" applyBorder="1" applyAlignment="1">
      <alignment horizontal="right"/>
    </xf>
    <xf numFmtId="0" fontId="0" fillId="0" borderId="1" xfId="0" applyFont="1" applyFill="1" applyBorder="1" applyAlignment="1">
      <alignment/>
    </xf>
    <xf numFmtId="3" fontId="105" fillId="0" borderId="0" xfId="0" applyNumberFormat="1" applyFont="1" applyFill="1" applyBorder="1" applyAlignment="1">
      <alignment horizontal="right"/>
    </xf>
    <xf numFmtId="3" fontId="105" fillId="0" borderId="20" xfId="0" applyNumberFormat="1" applyFont="1" applyFill="1" applyBorder="1" applyAlignment="1">
      <alignment horizontal="right"/>
    </xf>
    <xf numFmtId="3" fontId="1" fillId="0" borderId="20" xfId="109" applyNumberFormat="1" applyFont="1" applyFill="1" applyBorder="1" applyAlignment="1">
      <alignment/>
    </xf>
  </cellXfs>
  <cellStyles count="14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4025-363" xfId="27"/>
    <cellStyle name="60% - Colore 1" xfId="28"/>
    <cellStyle name="60% - Colore 2" xfId="29"/>
    <cellStyle name="60% - Colore 3" xfId="30"/>
    <cellStyle name="60% - Colore 4" xfId="31"/>
    <cellStyle name="60% - Colore 5" xfId="32"/>
    <cellStyle name="60% - Colore 6" xfId="33"/>
    <cellStyle name="aaa" xfId="34"/>
    <cellStyle name="b" xfId="35"/>
    <cellStyle name="Bloccato" xfId="36"/>
    <cellStyle name="CALC Amount" xfId="37"/>
    <cellStyle name="CALC Amount [1]" xfId="38"/>
    <cellStyle name="CALC Amount [2]" xfId="39"/>
    <cellStyle name="CALC Amount Total" xfId="40"/>
    <cellStyle name="CALC Amount Total [1]" xfId="41"/>
    <cellStyle name="CALC Amount Total [2]" xfId="42"/>
    <cellStyle name="CALC Amount 'x'" xfId="43"/>
    <cellStyle name="CALC Currency" xfId="44"/>
    <cellStyle name="CALC Currency [1]" xfId="45"/>
    <cellStyle name="CALC Currency [2]" xfId="46"/>
    <cellStyle name="CALC Currency Total" xfId="47"/>
    <cellStyle name="CALC Currency Total [1]" xfId="48"/>
    <cellStyle name="CALC Currency Total [2]" xfId="49"/>
    <cellStyle name="CALC Date Long" xfId="50"/>
    <cellStyle name="CALC Date Short" xfId="51"/>
    <cellStyle name="CALC Percent" xfId="52"/>
    <cellStyle name="CALC Percent [1]" xfId="53"/>
    <cellStyle name="CALC Percent [2]" xfId="54"/>
    <cellStyle name="CALC Percent Total" xfId="55"/>
    <cellStyle name="CALC Percent Total [1]" xfId="56"/>
    <cellStyle name="CALC Percent Total [2]" xfId="57"/>
    <cellStyle name="Calcolo" xfId="58"/>
    <cellStyle name="Cella collegata" xfId="59"/>
    <cellStyle name="Cella da controllare" xfId="60"/>
    <cellStyle name="Hyperlink" xfId="61"/>
    <cellStyle name="Followed Hyperlink" xfId="62"/>
    <cellStyle name="Colore 1" xfId="63"/>
    <cellStyle name="Colore 2" xfId="64"/>
    <cellStyle name="Colore 3" xfId="65"/>
    <cellStyle name="Colore 4" xfId="66"/>
    <cellStyle name="Colore 5" xfId="67"/>
    <cellStyle name="Colore 6" xfId="68"/>
    <cellStyle name="Comma [1]" xfId="69"/>
    <cellStyle name="Comma [2]" xfId="70"/>
    <cellStyle name="Comma [3]" xfId="71"/>
    <cellStyle name="DATA Amount" xfId="72"/>
    <cellStyle name="DATA Amount [1]" xfId="73"/>
    <cellStyle name="DATA Amount [2]" xfId="74"/>
    <cellStyle name="DATA Currency" xfId="75"/>
    <cellStyle name="DATA Currency [1]" xfId="76"/>
    <cellStyle name="DATA Currency [2]" xfId="77"/>
    <cellStyle name="DATA Date Long" xfId="78"/>
    <cellStyle name="DATA Date Short" xfId="79"/>
    <cellStyle name="DATA List" xfId="80"/>
    <cellStyle name="DATA Memo" xfId="81"/>
    <cellStyle name="DATA Percent" xfId="82"/>
    <cellStyle name="DATA Percent [1]" xfId="83"/>
    <cellStyle name="DATA Percent [2]" xfId="84"/>
    <cellStyle name="DATA Text" xfId="85"/>
    <cellStyle name="DATA Version" xfId="86"/>
    <cellStyle name="Date" xfId="87"/>
    <cellStyle name="Delta (0)" xfId="88"/>
    <cellStyle name="Delta (0,0)" xfId="89"/>
    <cellStyle name="Delta (0,00)" xfId="90"/>
    <cellStyle name="Euro" xfId="91"/>
    <cellStyle name="F_date" xfId="92"/>
    <cellStyle name="F_date_time" xfId="93"/>
    <cellStyle name="F_time" xfId="94"/>
    <cellStyle name="HEADING 1" xfId="95"/>
    <cellStyle name="HEADING 2" xfId="96"/>
    <cellStyle name="HEADING 3" xfId="97"/>
    <cellStyle name="Input" xfId="98"/>
    <cellStyle name="Input (0)" xfId="99"/>
    <cellStyle name="Input (0,0)" xfId="100"/>
    <cellStyle name="Input (0,00)" xfId="101"/>
    <cellStyle name="Input Perc (0,00)" xfId="102"/>
    <cellStyle name="Input(0)" xfId="103"/>
    <cellStyle name="Input(0,000)" xfId="104"/>
    <cellStyle name="LABEL Normal" xfId="105"/>
    <cellStyle name="LABEL Note" xfId="106"/>
    <cellStyle name="LABEL Units" xfId="107"/>
    <cellStyle name="Miglia" xfId="108"/>
    <cellStyle name="Comma" xfId="109"/>
    <cellStyle name="Migliaia (0)_0101" xfId="110"/>
    <cellStyle name="Migliaia (0,0)" xfId="111"/>
    <cellStyle name="Migliaia (0,00)" xfId="112"/>
    <cellStyle name="Migliaia (0,000)" xfId="113"/>
    <cellStyle name="Comma [0]" xfId="114"/>
    <cellStyle name="Migliaia [0] 2" xfId="115"/>
    <cellStyle name="Migliaia(0,0)" xfId="116"/>
    <cellStyle name="Neutrale" xfId="117"/>
    <cellStyle name="None" xfId="118"/>
    <cellStyle name="Normal_FuelsAssumptions_5June2003" xfId="119"/>
    <cellStyle name="Normale 2" xfId="120"/>
    <cellStyle name="Normale_Schema_dati" xfId="121"/>
    <cellStyle name="Nota" xfId="122"/>
    <cellStyle name="ODB_date_time" xfId="123"/>
    <cellStyle name="One" xfId="124"/>
    <cellStyle name="Output" xfId="125"/>
    <cellStyle name="Percent [0]" xfId="126"/>
    <cellStyle name="Percent [1]" xfId="127"/>
    <cellStyle name="Percent [2]" xfId="128"/>
    <cellStyle name="Percentage" xfId="129"/>
    <cellStyle name="Percent" xfId="130"/>
    <cellStyle name="Percentuale ,00" xfId="131"/>
    <cellStyle name="Percentuale(0)" xfId="132"/>
    <cellStyle name="SAPBEXstdItem" xfId="133"/>
    <cellStyle name="Sbloccato" xfId="134"/>
    <cellStyle name="Sottot" xfId="135"/>
    <cellStyle name="Sottotit 1" xfId="136"/>
    <cellStyle name="sottotit_tabella" xfId="137"/>
    <cellStyle name="SQL_STR" xfId="138"/>
    <cellStyle name="SYSTEM" xfId="139"/>
    <cellStyle name="Testo avviso" xfId="140"/>
    <cellStyle name="Testo descrittivo" xfId="141"/>
    <cellStyle name="TIME Detail" xfId="142"/>
    <cellStyle name="TIME Period Start" xfId="143"/>
    <cellStyle name="Tit_tabella" xfId="144"/>
    <cellStyle name="Titoli 1" xfId="145"/>
    <cellStyle name="Titoli 2" xfId="146"/>
    <cellStyle name="Titolo" xfId="147"/>
    <cellStyle name="Titolo 1" xfId="148"/>
    <cellStyle name="Titolo 2" xfId="149"/>
    <cellStyle name="Titolo 3" xfId="150"/>
    <cellStyle name="Titolo 4" xfId="151"/>
    <cellStyle name="Totale" xfId="152"/>
    <cellStyle name="Valore non valido" xfId="153"/>
    <cellStyle name="Valore valido" xfId="154"/>
    <cellStyle name="Currency" xfId="155"/>
    <cellStyle name="Valuta (0)_1998" xfId="156"/>
    <cellStyle name="Currency [0]" xfId="1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X126"/>
  <sheetViews>
    <sheetView zoomScale="85" zoomScaleNormal="85" zoomScalePageLayoutView="0" workbookViewId="0" topLeftCell="A64">
      <selection activeCell="H61" sqref="H61"/>
    </sheetView>
  </sheetViews>
  <sheetFormatPr defaultColWidth="9.140625" defaultRowHeight="12.75" outlineLevelCol="1"/>
  <cols>
    <col min="1" max="1" width="6.421875" style="210" customWidth="1"/>
    <col min="2" max="2" width="59.28125" style="211" customWidth="1"/>
    <col min="3" max="3" width="15.57421875" style="211" hidden="1" customWidth="1" outlineLevel="1"/>
    <col min="4" max="4" width="14.8515625" style="211" customWidth="1" collapsed="1"/>
    <col min="5" max="5" width="14.00390625" style="211" hidden="1" customWidth="1" outlineLevel="1"/>
    <col min="6" max="6" width="15.57421875" style="211" customWidth="1" collapsed="1"/>
    <col min="7" max="7" width="12.8515625" style="211" customWidth="1"/>
    <col min="8" max="8" width="10.140625" style="212" customWidth="1"/>
    <col min="9" max="19" width="11.28125" style="211" customWidth="1"/>
    <col min="20" max="16384" width="9.140625" style="9" customWidth="1"/>
  </cols>
  <sheetData>
    <row r="2" spans="1:19" s="141" customFormat="1" ht="15.75">
      <c r="A2" s="213"/>
      <c r="B2" s="140" t="s">
        <v>498</v>
      </c>
      <c r="C2" s="214"/>
      <c r="D2" s="214"/>
      <c r="E2" s="214"/>
      <c r="F2" s="214"/>
      <c r="G2" s="214"/>
      <c r="H2" s="215"/>
      <c r="I2" s="214"/>
      <c r="J2" s="214"/>
      <c r="K2" s="214"/>
      <c r="L2" s="214"/>
      <c r="M2" s="214"/>
      <c r="N2" s="214"/>
      <c r="O2" s="214"/>
      <c r="P2" s="214"/>
      <c r="Q2" s="214"/>
      <c r="R2" s="214"/>
      <c r="S2" s="214"/>
    </row>
    <row r="4" spans="1:8" s="29" customFormat="1" ht="12.75">
      <c r="A4" s="210"/>
      <c r="B4" s="816" t="s">
        <v>209</v>
      </c>
      <c r="C4" s="818"/>
      <c r="D4" s="819"/>
      <c r="E4" s="819"/>
      <c r="F4" s="819"/>
      <c r="G4" s="819"/>
      <c r="H4" s="820"/>
    </row>
    <row r="5" spans="1:8" s="33" customFormat="1" ht="12.75">
      <c r="A5" s="210"/>
      <c r="B5" s="817"/>
      <c r="C5" s="444">
        <v>2013</v>
      </c>
      <c r="D5" s="445" t="s">
        <v>375</v>
      </c>
      <c r="E5" s="446">
        <v>2014</v>
      </c>
      <c r="F5" s="445" t="s">
        <v>376</v>
      </c>
      <c r="G5" s="446">
        <v>2015</v>
      </c>
      <c r="H5" s="447" t="s">
        <v>377</v>
      </c>
    </row>
    <row r="6" spans="1:8" s="10" customFormat="1" ht="12.75">
      <c r="A6" s="216"/>
      <c r="B6" s="425"/>
      <c r="C6" s="439"/>
      <c r="D6" s="218"/>
      <c r="E6" s="218"/>
      <c r="F6" s="218"/>
      <c r="G6" s="218"/>
      <c r="H6" s="84"/>
    </row>
    <row r="7" spans="1:8" s="10" customFormat="1" ht="12.75">
      <c r="A7" s="216"/>
      <c r="B7" s="409" t="s">
        <v>70</v>
      </c>
      <c r="C7" s="402">
        <f>+'Quarterly Data'!J6</f>
        <v>7319</v>
      </c>
      <c r="D7" s="72">
        <f>+'Quarterly Data'!R6</f>
        <v>7162</v>
      </c>
      <c r="E7" s="72">
        <f>+'Quarterly Data'!Z6</f>
        <v>7859</v>
      </c>
      <c r="F7" s="72">
        <f>+'Quarterly Data'!AH6</f>
        <v>7859</v>
      </c>
      <c r="G7" s="72">
        <f>+'Quarterly Data'!AP6</f>
        <v>6529</v>
      </c>
      <c r="H7" s="84">
        <f>+'Quarterly Data'!AX6</f>
        <v>5682</v>
      </c>
    </row>
    <row r="8" spans="1:8" s="10" customFormat="1" ht="12.75">
      <c r="A8" s="216"/>
      <c r="B8" s="409" t="s">
        <v>71</v>
      </c>
      <c r="C8" s="402">
        <f>+'Quarterly Data'!J7</f>
        <v>5872</v>
      </c>
      <c r="D8" s="72">
        <f>+'Quarterly Data'!R7</f>
        <v>5998</v>
      </c>
      <c r="E8" s="72">
        <f>+'Quarterly Data'!Z7</f>
        <v>5168</v>
      </c>
      <c r="F8" s="72">
        <f>+'Quarterly Data'!AH7</f>
        <v>5168</v>
      </c>
      <c r="G8" s="72">
        <f>+'Quarterly Data'!AP7</f>
        <v>5512</v>
      </c>
      <c r="H8" s="84">
        <f>+'Quarterly Data'!AX7</f>
        <v>6031</v>
      </c>
    </row>
    <row r="9" spans="1:8" s="10" customFormat="1" ht="12.75">
      <c r="A9" s="216"/>
      <c r="B9" s="409" t="s">
        <v>72</v>
      </c>
      <c r="C9" s="402">
        <f>+'Quarterly Data'!J8</f>
        <v>52</v>
      </c>
      <c r="D9" s="72">
        <f>+'Quarterly Data'!R8</f>
        <v>52</v>
      </c>
      <c r="E9" s="72">
        <f>+'Quarterly Data'!Z8</f>
        <v>48</v>
      </c>
      <c r="F9" s="72">
        <f>+'Quarterly Data'!AH8</f>
        <v>48</v>
      </c>
      <c r="G9" s="72">
        <f>+'Quarterly Data'!AP8</f>
        <v>49</v>
      </c>
      <c r="H9" s="84">
        <f>+'Quarterly Data'!AX8</f>
        <v>51</v>
      </c>
    </row>
    <row r="10" spans="1:8" s="10" customFormat="1" ht="12.75">
      <c r="A10" s="216"/>
      <c r="B10" s="409" t="s">
        <v>73</v>
      </c>
      <c r="C10" s="402">
        <f>+'Quarterly Data'!J9</f>
        <v>-908</v>
      </c>
      <c r="D10" s="72">
        <f>+'Quarterly Data'!R9</f>
        <v>-908</v>
      </c>
      <c r="E10" s="72">
        <f>+'Quarterly Data'!Z9</f>
        <v>-750</v>
      </c>
      <c r="F10" s="72">
        <f>+'Quarterly Data'!AH9</f>
        <v>-750</v>
      </c>
      <c r="G10" s="72">
        <f>+'Quarterly Data'!AP9</f>
        <v>-777</v>
      </c>
      <c r="H10" s="84">
        <f>+'Quarterly Data'!AX9</f>
        <v>-730</v>
      </c>
    </row>
    <row r="11" spans="1:8" s="10" customFormat="1" ht="12.75">
      <c r="A11" s="216"/>
      <c r="B11" s="426" t="s">
        <v>74</v>
      </c>
      <c r="C11" s="78">
        <f>+SUM(C7:C10)</f>
        <v>12335</v>
      </c>
      <c r="D11" s="79">
        <f>+SUM(D7:D10)</f>
        <v>12304</v>
      </c>
      <c r="E11" s="79">
        <f>+SUM(E7:E10)</f>
        <v>12325</v>
      </c>
      <c r="F11" s="79">
        <f>+SUM(F7:F10)</f>
        <v>12325</v>
      </c>
      <c r="G11" s="79">
        <f>+SUM(G7:G10)</f>
        <v>11313</v>
      </c>
      <c r="H11" s="80">
        <f>+H7+H8+H9+H10</f>
        <v>11034</v>
      </c>
    </row>
    <row r="12" spans="1:8" s="12" customFormat="1" ht="12.75">
      <c r="A12" s="220"/>
      <c r="B12" s="427" t="s">
        <v>75</v>
      </c>
      <c r="C12" s="402">
        <f>+'Quarterly Data'!J11</f>
        <v>715</v>
      </c>
      <c r="D12" s="72">
        <f>+'Quarterly Data'!R11</f>
        <v>530</v>
      </c>
      <c r="E12" s="72">
        <f>+'Quarterly Data'!Z11</f>
        <v>255</v>
      </c>
      <c r="F12" s="72">
        <f>+'Quarterly Data'!AH11</f>
        <v>255</v>
      </c>
      <c r="G12" s="72">
        <f>+'Quarterly Data'!AP11</f>
        <v>804</v>
      </c>
      <c r="H12" s="209">
        <f>+'Quarterly Data'!AX11</f>
        <v>232</v>
      </c>
    </row>
    <row r="13" spans="1:8" s="6" customFormat="1" ht="12.75">
      <c r="A13" s="210"/>
      <c r="B13" s="426" t="s">
        <v>76</v>
      </c>
      <c r="C13" s="78">
        <f aca="true" t="shared" si="0" ref="C13:H13">+C11+C12</f>
        <v>13050</v>
      </c>
      <c r="D13" s="79">
        <f t="shared" si="0"/>
        <v>12834</v>
      </c>
      <c r="E13" s="79">
        <f t="shared" si="0"/>
        <v>12580</v>
      </c>
      <c r="F13" s="79">
        <f t="shared" si="0"/>
        <v>12580</v>
      </c>
      <c r="G13" s="79">
        <f t="shared" si="0"/>
        <v>12117</v>
      </c>
      <c r="H13" s="196">
        <f t="shared" si="0"/>
        <v>11266</v>
      </c>
    </row>
    <row r="14" spans="2:19" ht="12.75">
      <c r="B14" s="428"/>
      <c r="C14" s="222"/>
      <c r="D14" s="219"/>
      <c r="E14" s="219"/>
      <c r="F14" s="219"/>
      <c r="G14" s="219"/>
      <c r="H14" s="82"/>
      <c r="I14" s="9"/>
      <c r="J14" s="9"/>
      <c r="K14" s="9"/>
      <c r="L14" s="9"/>
      <c r="M14" s="9"/>
      <c r="N14" s="9"/>
      <c r="O14" s="9"/>
      <c r="P14" s="9"/>
      <c r="Q14" s="9"/>
      <c r="R14" s="9"/>
      <c r="S14" s="9"/>
    </row>
    <row r="15" spans="2:19" ht="12.75">
      <c r="B15" s="427" t="s">
        <v>77</v>
      </c>
      <c r="C15" s="74">
        <f aca="true" t="shared" si="1" ref="C15:H15">-(C13+C16-C24)</f>
        <v>-11815</v>
      </c>
      <c r="D15" s="81">
        <f t="shared" si="1"/>
        <v>-11641</v>
      </c>
      <c r="E15" s="81">
        <f t="shared" si="1"/>
        <v>-11545</v>
      </c>
      <c r="F15" s="81">
        <f t="shared" si="1"/>
        <v>-11545</v>
      </c>
      <c r="G15" s="81">
        <f t="shared" si="1"/>
        <v>-10624</v>
      </c>
      <c r="H15" s="82">
        <f t="shared" si="1"/>
        <v>-10318</v>
      </c>
      <c r="I15" s="9"/>
      <c r="J15" s="9"/>
      <c r="K15" s="9"/>
      <c r="L15" s="9"/>
      <c r="M15" s="9"/>
      <c r="N15" s="9"/>
      <c r="O15" s="9"/>
      <c r="P15" s="9"/>
      <c r="Q15" s="9"/>
      <c r="R15" s="9"/>
      <c r="S15" s="9"/>
    </row>
    <row r="16" spans="2:19" ht="12.75">
      <c r="B16" s="427" t="s">
        <v>78</v>
      </c>
      <c r="C16" s="402">
        <f>+'Quarterly Data'!J15</f>
        <v>-226</v>
      </c>
      <c r="D16" s="81">
        <f>+'Quarterly Data'!R15</f>
        <v>-223</v>
      </c>
      <c r="E16" s="81">
        <f>+'Quarterly Data'!Z15</f>
        <v>-221</v>
      </c>
      <c r="F16" s="81">
        <f>+'Quarterly Data'!AH15</f>
        <v>-221</v>
      </c>
      <c r="G16" s="81">
        <f>+'Quarterly Data'!AP15</f>
        <v>-232</v>
      </c>
      <c r="H16" s="82">
        <f>+'Quarterly Data'!AX15</f>
        <v>-295</v>
      </c>
      <c r="I16" s="9"/>
      <c r="J16" s="9"/>
      <c r="K16" s="9"/>
      <c r="L16" s="9"/>
      <c r="M16" s="9"/>
      <c r="N16" s="9"/>
      <c r="O16" s="9"/>
      <c r="P16" s="9"/>
      <c r="Q16" s="9"/>
      <c r="R16" s="9"/>
      <c r="S16" s="9"/>
    </row>
    <row r="17" spans="2:19" ht="12.75">
      <c r="B17" s="428"/>
      <c r="C17" s="222"/>
      <c r="D17" s="219"/>
      <c r="E17" s="219"/>
      <c r="F17" s="219"/>
      <c r="G17" s="219"/>
      <c r="H17" s="82"/>
      <c r="I17" s="9"/>
      <c r="J17" s="9"/>
      <c r="K17" s="9"/>
      <c r="L17" s="9"/>
      <c r="M17" s="9"/>
      <c r="N17" s="9"/>
      <c r="O17" s="9"/>
      <c r="P17" s="9"/>
      <c r="Q17" s="9"/>
      <c r="R17" s="9"/>
      <c r="S17" s="9"/>
    </row>
    <row r="18" spans="1:8" s="10" customFormat="1" ht="12.75">
      <c r="A18" s="212"/>
      <c r="B18" s="418" t="s">
        <v>499</v>
      </c>
      <c r="C18" s="402">
        <f>+'Quarterly Data'!J17</f>
        <v>706</v>
      </c>
      <c r="D18" s="72">
        <f>+'Quarterly Data'!R17</f>
        <v>666</v>
      </c>
      <c r="E18" s="72">
        <f>+'Quarterly Data'!Z17</f>
        <v>690</v>
      </c>
      <c r="F18" s="72">
        <f>+'Quarterly Data'!AH17</f>
        <v>690</v>
      </c>
      <c r="G18" s="72">
        <f>+'Quarterly Data'!AP17</f>
        <v>276</v>
      </c>
      <c r="H18" s="84">
        <f>+'Quarterly Data'!AX17</f>
        <v>242</v>
      </c>
    </row>
    <row r="19" spans="1:8" s="10" customFormat="1" ht="15" customHeight="1">
      <c r="A19" s="212"/>
      <c r="B19" s="418" t="s">
        <v>500</v>
      </c>
      <c r="C19" s="402">
        <f>+'Quarterly Data'!J18</f>
        <v>414</v>
      </c>
      <c r="D19" s="72">
        <f>+'Quarterly Data'!R18</f>
        <v>415</v>
      </c>
      <c r="E19" s="72">
        <f>+'Quarterly Data'!Z18</f>
        <v>255</v>
      </c>
      <c r="F19" s="72">
        <f>+'Quarterly Data'!AH18</f>
        <v>255</v>
      </c>
      <c r="G19" s="72">
        <f>+'Quarterly Data'!AP18</f>
        <v>1079</v>
      </c>
      <c r="H19" s="84">
        <f>+'Quarterly Data'!AX18</f>
        <v>505</v>
      </c>
    </row>
    <row r="20" spans="1:8" s="10" customFormat="1" ht="15" customHeight="1">
      <c r="A20" s="212"/>
      <c r="B20" s="416" t="s">
        <v>524</v>
      </c>
      <c r="C20" s="402"/>
      <c r="D20" s="72"/>
      <c r="E20" s="72"/>
      <c r="F20" s="72"/>
      <c r="G20" s="72"/>
      <c r="H20" s="84"/>
    </row>
    <row r="21" spans="1:8" s="10" customFormat="1" ht="15" customHeight="1">
      <c r="A21" s="212"/>
      <c r="B21" s="297" t="s">
        <v>501</v>
      </c>
      <c r="C21" s="402">
        <f>+'Quarterly Data'!J20</f>
        <v>444</v>
      </c>
      <c r="D21" s="72">
        <f>+'Quarterly Data'!R20</f>
        <v>444</v>
      </c>
      <c r="E21" s="72">
        <f>+'Quarterly Data'!Z20</f>
        <v>427</v>
      </c>
      <c r="F21" s="72">
        <f>+'Quarterly Data'!AH20</f>
        <v>427</v>
      </c>
      <c r="G21" s="72">
        <f>+'Quarterly Data'!AP20</f>
        <v>243</v>
      </c>
      <c r="H21" s="84">
        <f>+'Quarterly Data'!AX20</f>
        <v>182</v>
      </c>
    </row>
    <row r="22" spans="1:8" s="10" customFormat="1" ht="15" customHeight="1">
      <c r="A22" s="212"/>
      <c r="B22" s="297" t="s">
        <v>364</v>
      </c>
      <c r="C22" s="402">
        <f>+'Quarterly Data'!J21</f>
        <v>-30</v>
      </c>
      <c r="D22" s="72">
        <f>+'Quarterly Data'!R21</f>
        <v>-29</v>
      </c>
      <c r="E22" s="72">
        <f>+'Quarterly Data'!Z21</f>
        <v>-172</v>
      </c>
      <c r="F22" s="72">
        <f>+'Quarterly Data'!AH21</f>
        <v>-172</v>
      </c>
      <c r="G22" s="72">
        <f>+'Quarterly Data'!AP21</f>
        <v>836</v>
      </c>
      <c r="H22" s="84">
        <f>+'Quarterly Data'!AX21</f>
        <v>323</v>
      </c>
    </row>
    <row r="23" spans="1:8" s="10" customFormat="1" ht="12.75">
      <c r="A23" s="212"/>
      <c r="B23" s="418" t="s">
        <v>79</v>
      </c>
      <c r="C23" s="402">
        <f>+'Quarterly Data'!J22</f>
        <v>-111</v>
      </c>
      <c r="D23" s="72">
        <f>+'Quarterly Data'!R22</f>
        <v>-111</v>
      </c>
      <c r="E23" s="72">
        <f>+'Quarterly Data'!Z22</f>
        <v>-131</v>
      </c>
      <c r="F23" s="72">
        <f>+'Quarterly Data'!AH22</f>
        <v>-131</v>
      </c>
      <c r="G23" s="72">
        <f>+'Quarterly Data'!AP22</f>
        <v>-94</v>
      </c>
      <c r="H23" s="84">
        <f>+'Quarterly Data'!AX22</f>
        <v>-94</v>
      </c>
    </row>
    <row r="24" spans="1:8" s="11" customFormat="1" ht="12.75">
      <c r="A24" s="225"/>
      <c r="B24" s="426" t="s">
        <v>502</v>
      </c>
      <c r="C24" s="78">
        <f aca="true" t="shared" si="2" ref="C24:H24">+C18+C19+C23</f>
        <v>1009</v>
      </c>
      <c r="D24" s="79">
        <f t="shared" si="2"/>
        <v>970</v>
      </c>
      <c r="E24" s="79">
        <f t="shared" si="2"/>
        <v>814</v>
      </c>
      <c r="F24" s="79">
        <f t="shared" si="2"/>
        <v>814</v>
      </c>
      <c r="G24" s="79">
        <f t="shared" si="2"/>
        <v>1261</v>
      </c>
      <c r="H24" s="80">
        <f t="shared" si="2"/>
        <v>653</v>
      </c>
    </row>
    <row r="25" spans="1:8" s="10" customFormat="1" ht="12.75">
      <c r="A25" s="212"/>
      <c r="B25" s="429"/>
      <c r="C25" s="226"/>
      <c r="D25" s="223"/>
      <c r="E25" s="223"/>
      <c r="F25" s="223"/>
      <c r="G25" s="223"/>
      <c r="H25" s="84"/>
    </row>
    <row r="26" spans="2:19" ht="12.75">
      <c r="B26" s="189" t="s">
        <v>291</v>
      </c>
      <c r="C26" s="74">
        <f>+'Quarterly Data'!J25</f>
        <v>-9</v>
      </c>
      <c r="D26" s="81">
        <f>+'Quarterly Data'!R25</f>
        <v>-9</v>
      </c>
      <c r="E26" s="81">
        <f>+'Quarterly Data'!Z25</f>
        <v>250</v>
      </c>
      <c r="F26" s="81">
        <f>+'Quarterly Data'!AH25</f>
        <v>250</v>
      </c>
      <c r="G26" s="81">
        <f>+'Quarterly Data'!AP25</f>
        <v>161</v>
      </c>
      <c r="H26" s="82">
        <f>+'Quarterly Data'!AX25</f>
        <v>-166</v>
      </c>
      <c r="I26" s="9"/>
      <c r="J26" s="9"/>
      <c r="K26" s="9"/>
      <c r="L26" s="9"/>
      <c r="M26" s="9"/>
      <c r="N26" s="9"/>
      <c r="O26" s="9"/>
      <c r="P26" s="9"/>
      <c r="Q26" s="9"/>
      <c r="R26" s="9"/>
      <c r="S26" s="9"/>
    </row>
    <row r="27" spans="2:19" ht="12.75">
      <c r="B27" s="189" t="s">
        <v>408</v>
      </c>
      <c r="C27" s="74">
        <f>+'Quarterly Data'!J26</f>
        <v>-556</v>
      </c>
      <c r="D27" s="81">
        <f>+'Quarterly Data'!R26</f>
        <v>-536</v>
      </c>
      <c r="E27" s="81">
        <f>+'Quarterly Data'!Z26</f>
        <v>-521</v>
      </c>
      <c r="F27" s="81">
        <f>+'Quarterly Data'!AH26</f>
        <v>-521</v>
      </c>
      <c r="G27" s="81">
        <f>+'Quarterly Data'!AP26</f>
        <v>-660</v>
      </c>
      <c r="H27" s="82">
        <f>+'Quarterly Data'!AX26</f>
        <v>-478</v>
      </c>
      <c r="I27" s="9"/>
      <c r="J27" s="9"/>
      <c r="K27" s="9"/>
      <c r="L27" s="9"/>
      <c r="M27" s="9"/>
      <c r="N27" s="9"/>
      <c r="O27" s="9"/>
      <c r="P27" s="9"/>
      <c r="Q27" s="9"/>
      <c r="R27" s="9"/>
      <c r="S27" s="9"/>
    </row>
    <row r="28" spans="2:19" ht="12.75">
      <c r="B28" s="189" t="s">
        <v>383</v>
      </c>
      <c r="C28" s="74">
        <f>+'Quarterly Data'!J27</f>
        <v>-100</v>
      </c>
      <c r="D28" s="81">
        <f>+'Quarterly Data'!R27</f>
        <v>-100</v>
      </c>
      <c r="E28" s="81">
        <f>+'Quarterly Data'!Z27</f>
        <v>-240</v>
      </c>
      <c r="F28" s="81">
        <f>+'Quarterly Data'!AH27</f>
        <v>-240</v>
      </c>
      <c r="G28" s="81">
        <f>+'Quarterly Data'!AP27</f>
        <v>-1534</v>
      </c>
      <c r="H28" s="82">
        <f>+'Quarterly Data'!AX27</f>
        <v>-256</v>
      </c>
      <c r="I28" s="9"/>
      <c r="J28" s="9"/>
      <c r="K28" s="9"/>
      <c r="L28" s="9"/>
      <c r="M28" s="9"/>
      <c r="N28" s="9"/>
      <c r="O28" s="9"/>
      <c r="P28" s="9"/>
      <c r="Q28" s="9"/>
      <c r="R28" s="9"/>
      <c r="S28" s="9"/>
    </row>
    <row r="29" spans="2:19" ht="12.75">
      <c r="B29" s="189" t="s">
        <v>157</v>
      </c>
      <c r="C29" s="74">
        <f>+'Quarterly Data'!J28</f>
        <v>0</v>
      </c>
      <c r="D29" s="81">
        <f>+'Quarterly Data'!R28</f>
        <v>-4</v>
      </c>
      <c r="E29" s="81">
        <f>+'Quarterly Data'!Z28</f>
        <v>-11</v>
      </c>
      <c r="F29" s="81">
        <f>+'Quarterly Data'!AH28</f>
        <v>-11</v>
      </c>
      <c r="G29" s="81">
        <f>+'Quarterly Data'!AP28</f>
        <v>-23</v>
      </c>
      <c r="H29" s="82">
        <f>+'Quarterly Data'!AX28</f>
        <v>-13</v>
      </c>
      <c r="I29" s="9"/>
      <c r="J29" s="9"/>
      <c r="K29" s="9"/>
      <c r="L29" s="9"/>
      <c r="M29" s="9"/>
      <c r="N29" s="9"/>
      <c r="O29" s="9"/>
      <c r="P29" s="9"/>
      <c r="Q29" s="9"/>
      <c r="R29" s="9"/>
      <c r="S29" s="9"/>
    </row>
    <row r="30" spans="1:8" s="6" customFormat="1" ht="12.75">
      <c r="A30" s="228"/>
      <c r="B30" s="426" t="s">
        <v>80</v>
      </c>
      <c r="C30" s="78">
        <f>+C26+C27+C29</f>
        <v>-565</v>
      </c>
      <c r="D30" s="79">
        <f>+SUM(D26:D29)</f>
        <v>-649</v>
      </c>
      <c r="E30" s="79">
        <f>+SUM(E26:E29)</f>
        <v>-522</v>
      </c>
      <c r="F30" s="79">
        <f>+SUM(F26:F29)</f>
        <v>-522</v>
      </c>
      <c r="G30" s="79">
        <f>+SUM(G26:G29)</f>
        <v>-2056</v>
      </c>
      <c r="H30" s="196">
        <f>+SUM(H26:H29)</f>
        <v>-913</v>
      </c>
    </row>
    <row r="31" spans="2:19" ht="12.75">
      <c r="B31" s="428"/>
      <c r="C31" s="222"/>
      <c r="D31" s="219"/>
      <c r="E31" s="219"/>
      <c r="F31" s="219"/>
      <c r="G31" s="219"/>
      <c r="H31" s="82"/>
      <c r="I31" s="9"/>
      <c r="J31" s="9"/>
      <c r="K31" s="9"/>
      <c r="L31" s="9"/>
      <c r="M31" s="9"/>
      <c r="N31" s="9"/>
      <c r="O31" s="9"/>
      <c r="P31" s="9"/>
      <c r="Q31" s="9"/>
      <c r="R31" s="9"/>
      <c r="S31" s="9"/>
    </row>
    <row r="32" spans="1:8" s="6" customFormat="1" ht="12.75">
      <c r="A32" s="210"/>
      <c r="B32" s="426" t="s">
        <v>409</v>
      </c>
      <c r="C32" s="78">
        <f aca="true" t="shared" si="3" ref="C32:H32">+C24+C30</f>
        <v>444</v>
      </c>
      <c r="D32" s="79">
        <f t="shared" si="3"/>
        <v>321</v>
      </c>
      <c r="E32" s="79">
        <f t="shared" si="3"/>
        <v>292</v>
      </c>
      <c r="F32" s="79">
        <f t="shared" si="3"/>
        <v>292</v>
      </c>
      <c r="G32" s="79">
        <f t="shared" si="3"/>
        <v>-795</v>
      </c>
      <c r="H32" s="196">
        <f t="shared" si="3"/>
        <v>-260</v>
      </c>
    </row>
    <row r="33" spans="1:8" s="23" customFormat="1" ht="12.75">
      <c r="A33" s="229"/>
      <c r="B33" s="430"/>
      <c r="C33" s="437"/>
      <c r="D33" s="230"/>
      <c r="E33" s="230"/>
      <c r="F33" s="230"/>
      <c r="G33" s="230"/>
      <c r="H33" s="181"/>
    </row>
    <row r="34" spans="2:19" ht="12.75">
      <c r="B34" s="427" t="s">
        <v>82</v>
      </c>
      <c r="C34" s="402">
        <f>+'Quarterly Data'!J32</f>
        <v>-115</v>
      </c>
      <c r="D34" s="72">
        <f>+'Quarterly Data'!R32</f>
        <v>-112</v>
      </c>
      <c r="E34" s="72">
        <f>+'Quarterly Data'!Z32</f>
        <v>-91</v>
      </c>
      <c r="F34" s="72">
        <f>+'Quarterly Data'!AH32</f>
        <v>-91</v>
      </c>
      <c r="G34" s="72">
        <f>+'Quarterly Data'!AP32</f>
        <v>-29</v>
      </c>
      <c r="H34" s="82">
        <f>+'Quarterly Data'!AX32</f>
        <v>-94</v>
      </c>
      <c r="I34" s="9"/>
      <c r="J34" s="9"/>
      <c r="K34" s="9"/>
      <c r="L34" s="9"/>
      <c r="M34" s="9"/>
      <c r="N34" s="9"/>
      <c r="O34" s="9"/>
      <c r="P34" s="9"/>
      <c r="Q34" s="9"/>
      <c r="R34" s="9"/>
      <c r="S34" s="9"/>
    </row>
    <row r="35" spans="2:19" ht="12.75">
      <c r="B35" s="427" t="s">
        <v>83</v>
      </c>
      <c r="C35" s="402">
        <f>+'Quarterly Data'!J33</f>
        <v>3</v>
      </c>
      <c r="D35" s="72">
        <f>+'Quarterly Data'!R33</f>
        <v>8</v>
      </c>
      <c r="E35" s="72">
        <f>+'Quarterly Data'!Z33</f>
        <v>13</v>
      </c>
      <c r="F35" s="72">
        <f>+'Quarterly Data'!AH33</f>
        <v>13</v>
      </c>
      <c r="G35" s="72">
        <f>+'Quarterly Data'!AP33</f>
        <v>-38</v>
      </c>
      <c r="H35" s="82">
        <f>+'Quarterly Data'!AX33</f>
        <v>7</v>
      </c>
      <c r="I35" s="9"/>
      <c r="J35" s="9"/>
      <c r="K35" s="9"/>
      <c r="L35" s="9"/>
      <c r="M35" s="9"/>
      <c r="N35" s="9"/>
      <c r="O35" s="9"/>
      <c r="P35" s="9"/>
      <c r="Q35" s="9"/>
      <c r="R35" s="9"/>
      <c r="S35" s="9"/>
    </row>
    <row r="36" spans="1:8" s="8" customFormat="1" ht="12.75">
      <c r="A36" s="231"/>
      <c r="B36" s="427" t="s">
        <v>157</v>
      </c>
      <c r="C36" s="402">
        <f>+'Quarterly Data'!J34</f>
        <v>-4</v>
      </c>
      <c r="D36" s="72">
        <f>+'Quarterly Data'!R34</f>
        <v>0</v>
      </c>
      <c r="E36" s="72">
        <f>+'Quarterly Data'!Z34</f>
        <v>0</v>
      </c>
      <c r="F36" s="72">
        <f>+'Quarterly Data'!AH34</f>
        <v>0</v>
      </c>
      <c r="G36" s="72">
        <f>+'Quarterly Data'!AP34</f>
        <v>0</v>
      </c>
      <c r="H36" s="438">
        <f>+'Quarterly Data'!AX34</f>
        <v>0</v>
      </c>
    </row>
    <row r="37" spans="1:8" s="6" customFormat="1" ht="12.75">
      <c r="A37" s="210"/>
      <c r="B37" s="426" t="s">
        <v>158</v>
      </c>
      <c r="C37" s="78">
        <f aca="true" t="shared" si="4" ref="C37:H37">+C32+SUM(C34:C36)</f>
        <v>328</v>
      </c>
      <c r="D37" s="79">
        <f t="shared" si="4"/>
        <v>217</v>
      </c>
      <c r="E37" s="79">
        <f t="shared" si="4"/>
        <v>214</v>
      </c>
      <c r="F37" s="79">
        <f t="shared" si="4"/>
        <v>214</v>
      </c>
      <c r="G37" s="79">
        <f t="shared" si="4"/>
        <v>-862</v>
      </c>
      <c r="H37" s="196">
        <f t="shared" si="4"/>
        <v>-347</v>
      </c>
    </row>
    <row r="38" spans="2:19" ht="12.75">
      <c r="B38" s="427" t="s">
        <v>84</v>
      </c>
      <c r="C38" s="402">
        <f>+'Quarterly Data'!J36</f>
        <v>-130</v>
      </c>
      <c r="D38" s="72">
        <f>+'Quarterly Data'!R36</f>
        <v>-119</v>
      </c>
      <c r="E38" s="72">
        <f>+'Quarterly Data'!Z36</f>
        <v>-159</v>
      </c>
      <c r="F38" s="72">
        <f>+'Quarterly Data'!AH36</f>
        <v>-159</v>
      </c>
      <c r="G38" s="72">
        <f>+'Quarterly Data'!AP36</f>
        <v>-97</v>
      </c>
      <c r="H38" s="82">
        <f>+'Quarterly Data'!AX36</f>
        <v>-25</v>
      </c>
      <c r="I38" s="9"/>
      <c r="J38" s="9"/>
      <c r="K38" s="9"/>
      <c r="L38" s="9"/>
      <c r="M38" s="9"/>
      <c r="N38" s="9"/>
      <c r="O38" s="9"/>
      <c r="P38" s="9"/>
      <c r="Q38" s="9"/>
      <c r="R38" s="9"/>
      <c r="S38" s="9"/>
    </row>
    <row r="39" spans="2:19" ht="12.75" hidden="1">
      <c r="B39" s="426" t="s">
        <v>159</v>
      </c>
      <c r="C39" s="78">
        <f aca="true" t="shared" si="5" ref="C39:H39">+C37+C38</f>
        <v>198</v>
      </c>
      <c r="D39" s="79">
        <f t="shared" si="5"/>
        <v>98</v>
      </c>
      <c r="E39" s="79">
        <f t="shared" si="5"/>
        <v>55</v>
      </c>
      <c r="F39" s="79">
        <f t="shared" si="5"/>
        <v>55</v>
      </c>
      <c r="G39" s="79">
        <f t="shared" si="5"/>
        <v>-959</v>
      </c>
      <c r="H39" s="196">
        <f t="shared" si="5"/>
        <v>-372</v>
      </c>
      <c r="I39" s="9"/>
      <c r="J39" s="9"/>
      <c r="K39" s="9"/>
      <c r="L39" s="9"/>
      <c r="M39" s="9"/>
      <c r="N39" s="9"/>
      <c r="O39" s="9"/>
      <c r="P39" s="9"/>
      <c r="Q39" s="9"/>
      <c r="R39" s="9"/>
      <c r="S39" s="9"/>
    </row>
    <row r="40" spans="2:19" ht="12.75">
      <c r="B40" s="427" t="s">
        <v>156</v>
      </c>
      <c r="C40" s="402">
        <f>+'Quarterly Data'!J38</f>
        <v>0</v>
      </c>
      <c r="D40" s="72">
        <f>+'Quarterly Data'!R38</f>
        <v>0</v>
      </c>
      <c r="E40" s="72">
        <f>+'Quarterly Data'!Z38</f>
        <v>0</v>
      </c>
      <c r="F40" s="72">
        <f>+'Quarterly Data'!AH38</f>
        <v>0</v>
      </c>
      <c r="G40" s="72">
        <f>+'Quarterly Data'!AP38</f>
        <v>0</v>
      </c>
      <c r="H40" s="82">
        <f>+'Quarterly Data'!AX38</f>
        <v>0</v>
      </c>
      <c r="I40" s="9"/>
      <c r="J40" s="9"/>
      <c r="K40" s="9"/>
      <c r="L40" s="9"/>
      <c r="M40" s="9"/>
      <c r="N40" s="9"/>
      <c r="O40" s="9"/>
      <c r="P40" s="9"/>
      <c r="Q40" s="9"/>
      <c r="R40" s="9"/>
      <c r="S40" s="9"/>
    </row>
    <row r="41" spans="1:8" s="6" customFormat="1" ht="12.75" hidden="1">
      <c r="A41" s="210"/>
      <c r="B41" s="426" t="s">
        <v>85</v>
      </c>
      <c r="C41" s="78">
        <f aca="true" t="shared" si="6" ref="C41:H41">+C39+C40</f>
        <v>198</v>
      </c>
      <c r="D41" s="79">
        <f t="shared" si="6"/>
        <v>98</v>
      </c>
      <c r="E41" s="79">
        <f t="shared" si="6"/>
        <v>55</v>
      </c>
      <c r="F41" s="79">
        <f t="shared" si="6"/>
        <v>55</v>
      </c>
      <c r="G41" s="79">
        <f t="shared" si="6"/>
        <v>-959</v>
      </c>
      <c r="H41" s="196">
        <f t="shared" si="6"/>
        <v>-372</v>
      </c>
    </row>
    <row r="42" spans="1:8" s="11" customFormat="1" ht="12.75">
      <c r="A42" s="216"/>
      <c r="B42" s="416" t="s">
        <v>86</v>
      </c>
      <c r="C42" s="420"/>
      <c r="D42" s="221"/>
      <c r="E42" s="221"/>
      <c r="F42" s="221"/>
      <c r="G42" s="221"/>
      <c r="H42" s="282"/>
    </row>
    <row r="43" spans="2:19" ht="12.75">
      <c r="B43" s="427" t="s">
        <v>180</v>
      </c>
      <c r="C43" s="402">
        <f>+'Quarterly Data'!J40</f>
        <v>-2</v>
      </c>
      <c r="D43" s="72">
        <f>+'Quarterly Data'!R40</f>
        <v>-2</v>
      </c>
      <c r="E43" s="72">
        <f>+'Quarterly Data'!Z40</f>
        <v>-15</v>
      </c>
      <c r="F43" s="72">
        <f>+'Quarterly Data'!AH40</f>
        <v>-15</v>
      </c>
      <c r="G43" s="72">
        <f>+'Quarterly Data'!AP40</f>
        <v>-21</v>
      </c>
      <c r="H43" s="82">
        <f>+'Quarterly Data'!AX40</f>
        <v>-17</v>
      </c>
      <c r="I43" s="9"/>
      <c r="J43" s="9"/>
      <c r="K43" s="9"/>
      <c r="L43" s="9"/>
      <c r="M43" s="9"/>
      <c r="N43" s="9"/>
      <c r="O43" s="9"/>
      <c r="P43" s="9"/>
      <c r="Q43" s="9"/>
      <c r="R43" s="9"/>
      <c r="S43" s="9"/>
    </row>
    <row r="44" spans="2:19" ht="12.75">
      <c r="B44" s="431" t="s">
        <v>87</v>
      </c>
      <c r="C44" s="86">
        <f aca="true" t="shared" si="7" ref="C44:H44">+C41+C43</f>
        <v>196</v>
      </c>
      <c r="D44" s="87">
        <f t="shared" si="7"/>
        <v>96</v>
      </c>
      <c r="E44" s="87">
        <f t="shared" si="7"/>
        <v>40</v>
      </c>
      <c r="F44" s="87">
        <f t="shared" si="7"/>
        <v>40</v>
      </c>
      <c r="G44" s="87">
        <f t="shared" si="7"/>
        <v>-980</v>
      </c>
      <c r="H44" s="200">
        <f t="shared" si="7"/>
        <v>-389</v>
      </c>
      <c r="I44" s="9"/>
      <c r="J44" s="9"/>
      <c r="K44" s="9"/>
      <c r="L44" s="9"/>
      <c r="M44" s="9"/>
      <c r="N44" s="9"/>
      <c r="O44" s="9"/>
      <c r="P44" s="9"/>
      <c r="Q44" s="9"/>
      <c r="R44" s="9"/>
      <c r="S44" s="9"/>
    </row>
    <row r="45" spans="1:8" s="10" customFormat="1" ht="12.75">
      <c r="A45" s="233"/>
      <c r="B45" s="432"/>
      <c r="C45" s="226"/>
      <c r="D45" s="223"/>
      <c r="E45" s="223"/>
      <c r="F45" s="223"/>
      <c r="G45" s="223"/>
      <c r="H45" s="84"/>
    </row>
    <row r="46" spans="1:8" s="11" customFormat="1" ht="12.75">
      <c r="A46" s="216"/>
      <c r="B46" s="431" t="s">
        <v>535</v>
      </c>
      <c r="C46" s="86">
        <f>+'Quarterly Data'!J57</f>
        <v>3240</v>
      </c>
      <c r="D46" s="87">
        <f>+'Quarterly Data'!R57</f>
        <v>3183</v>
      </c>
      <c r="E46" s="87">
        <f>+'Quarterly Data'!Z57</f>
        <v>3101</v>
      </c>
      <c r="F46" s="87">
        <f>+'Quarterly Data'!AH57</f>
        <v>3101</v>
      </c>
      <c r="G46" s="87">
        <f>+'Quarterly Data'!AP57</f>
        <v>3066</v>
      </c>
      <c r="H46" s="200">
        <f>+'Quarterly Data'!AX57</f>
        <v>4949</v>
      </c>
    </row>
    <row r="47" spans="3:19" ht="12.75">
      <c r="C47" s="219"/>
      <c r="D47" s="219"/>
      <c r="E47" s="219"/>
      <c r="F47" s="219"/>
      <c r="G47" s="219"/>
      <c r="H47" s="9"/>
      <c r="I47" s="9"/>
      <c r="J47" s="9"/>
      <c r="K47" s="9"/>
      <c r="L47" s="9"/>
      <c r="M47" s="9"/>
      <c r="N47" s="9"/>
      <c r="O47" s="9"/>
      <c r="P47" s="9"/>
      <c r="Q47" s="9"/>
      <c r="R47" s="9"/>
      <c r="S47" s="9"/>
    </row>
    <row r="48" spans="3:19" ht="12.75">
      <c r="C48" s="219"/>
      <c r="D48" s="219"/>
      <c r="E48" s="219"/>
      <c r="F48" s="219"/>
      <c r="G48" s="219"/>
      <c r="H48" s="9"/>
      <c r="I48" s="9"/>
      <c r="J48" s="9"/>
      <c r="K48" s="9"/>
      <c r="L48" s="9"/>
      <c r="M48" s="9"/>
      <c r="N48" s="9"/>
      <c r="O48" s="9"/>
      <c r="P48" s="9"/>
      <c r="Q48" s="9"/>
      <c r="R48" s="9"/>
      <c r="S48" s="9"/>
    </row>
    <row r="49" spans="2:19" ht="12.75">
      <c r="B49" s="814" t="s">
        <v>88</v>
      </c>
      <c r="C49" s="818"/>
      <c r="D49" s="819"/>
      <c r="E49" s="819"/>
      <c r="F49" s="819"/>
      <c r="G49" s="819"/>
      <c r="H49" s="820"/>
      <c r="I49" s="9"/>
      <c r="J49" s="9"/>
      <c r="K49" s="9"/>
      <c r="L49" s="9"/>
      <c r="M49" s="9"/>
      <c r="N49" s="9"/>
      <c r="O49" s="9"/>
      <c r="P49" s="9"/>
      <c r="Q49" s="9"/>
      <c r="R49" s="9"/>
      <c r="S49" s="9"/>
    </row>
    <row r="50" spans="2:19" ht="12.75">
      <c r="B50" s="815"/>
      <c r="C50" s="444">
        <f aca="true" t="shared" si="8" ref="C50:H50">+C5</f>
        <v>2013</v>
      </c>
      <c r="D50" s="445" t="str">
        <f t="shared" si="8"/>
        <v>2013 Restated</v>
      </c>
      <c r="E50" s="446">
        <f t="shared" si="8"/>
        <v>2014</v>
      </c>
      <c r="F50" s="445" t="str">
        <f t="shared" si="8"/>
        <v>2014 Restated</v>
      </c>
      <c r="G50" s="446">
        <f t="shared" si="8"/>
        <v>2015</v>
      </c>
      <c r="H50" s="447" t="str">
        <f t="shared" si="8"/>
        <v>2016 (1)</v>
      </c>
      <c r="I50" s="9"/>
      <c r="J50" s="9"/>
      <c r="K50" s="9"/>
      <c r="L50" s="9"/>
      <c r="M50" s="9"/>
      <c r="N50" s="9"/>
      <c r="O50" s="9"/>
      <c r="P50" s="9"/>
      <c r="Q50" s="9"/>
      <c r="R50" s="9"/>
      <c r="S50" s="9"/>
    </row>
    <row r="51" spans="1:8" s="10" customFormat="1" ht="12.75" customHeight="1">
      <c r="A51" s="216"/>
      <c r="B51" s="429"/>
      <c r="C51" s="439"/>
      <c r="D51" s="218"/>
      <c r="E51" s="217"/>
      <c r="F51" s="218"/>
      <c r="G51" s="218"/>
      <c r="H51" s="325"/>
    </row>
    <row r="52" spans="1:8" s="10" customFormat="1" ht="12.75" customHeight="1">
      <c r="A52" s="216"/>
      <c r="B52" s="427" t="s">
        <v>89</v>
      </c>
      <c r="C52" s="440">
        <f>4548+6</f>
        <v>4554</v>
      </c>
      <c r="D52" s="73">
        <f>4344+6</f>
        <v>4350</v>
      </c>
      <c r="E52" s="73">
        <f>4348+6</f>
        <v>4354</v>
      </c>
      <c r="F52" s="73">
        <f>4348+6</f>
        <v>4354</v>
      </c>
      <c r="G52" s="73">
        <v>3684</v>
      </c>
      <c r="H52" s="283">
        <f>3937+5</f>
        <v>3942</v>
      </c>
    </row>
    <row r="53" spans="1:8" s="10" customFormat="1" ht="12.75" customHeight="1">
      <c r="A53" s="216"/>
      <c r="B53" s="427" t="s">
        <v>379</v>
      </c>
      <c r="C53" s="440">
        <v>3231</v>
      </c>
      <c r="D53" s="73">
        <v>3231</v>
      </c>
      <c r="E53" s="73">
        <v>3070</v>
      </c>
      <c r="F53" s="73">
        <v>3070</v>
      </c>
      <c r="G53" s="73">
        <v>2355</v>
      </c>
      <c r="H53" s="283">
        <v>2357</v>
      </c>
    </row>
    <row r="54" spans="1:8" s="10" customFormat="1" ht="12.75" customHeight="1">
      <c r="A54" s="216"/>
      <c r="B54" s="427" t="s">
        <v>380</v>
      </c>
      <c r="C54" s="440">
        <f>860+115</f>
        <v>975</v>
      </c>
      <c r="D54" s="73">
        <f>860+114</f>
        <v>974</v>
      </c>
      <c r="E54" s="73">
        <f>739+118</f>
        <v>857</v>
      </c>
      <c r="F54" s="73">
        <f>739+118</f>
        <v>857</v>
      </c>
      <c r="G54" s="73">
        <f>480+118</f>
        <v>598</v>
      </c>
      <c r="H54" s="283">
        <f>396+128</f>
        <v>524</v>
      </c>
    </row>
    <row r="55" spans="1:8" s="10" customFormat="1" ht="12.75" customHeight="1">
      <c r="A55" s="216"/>
      <c r="B55" s="427" t="s">
        <v>381</v>
      </c>
      <c r="C55" s="440">
        <f>51+183+74</f>
        <v>308</v>
      </c>
      <c r="D55" s="73">
        <f>144+183+106</f>
        <v>433</v>
      </c>
      <c r="E55" s="73">
        <f>149+174+47</f>
        <v>370</v>
      </c>
      <c r="F55" s="73">
        <f>149+174+47</f>
        <v>370</v>
      </c>
      <c r="G55" s="73">
        <v>265</v>
      </c>
      <c r="H55" s="283">
        <f>104+158+94</f>
        <v>356</v>
      </c>
    </row>
    <row r="56" spans="1:8" s="10" customFormat="1" ht="12" customHeight="1">
      <c r="A56" s="216"/>
      <c r="B56" s="427" t="s">
        <v>90</v>
      </c>
      <c r="C56" s="440">
        <f>489+3176-2240</f>
        <v>1425</v>
      </c>
      <c r="D56" s="73">
        <f>486+2876-1997</f>
        <v>1365</v>
      </c>
      <c r="E56" s="73">
        <f>479+2848-2321</f>
        <v>1006</v>
      </c>
      <c r="F56" s="73">
        <f>479+2848-2321</f>
        <v>1006</v>
      </c>
      <c r="G56" s="73">
        <v>997</v>
      </c>
      <c r="H56" s="283">
        <f>1830+180-1607</f>
        <v>403</v>
      </c>
    </row>
    <row r="57" spans="2:19" ht="12.75">
      <c r="B57" s="427" t="s">
        <v>120</v>
      </c>
      <c r="C57" s="440">
        <v>-656</v>
      </c>
      <c r="D57" s="73">
        <v>-628</v>
      </c>
      <c r="E57" s="73">
        <v>-717</v>
      </c>
      <c r="F57" s="73">
        <v>-717</v>
      </c>
      <c r="G57" s="73">
        <v>-845</v>
      </c>
      <c r="H57" s="283">
        <v>-211</v>
      </c>
      <c r="I57" s="9"/>
      <c r="J57" s="9"/>
      <c r="K57" s="9"/>
      <c r="L57" s="9"/>
      <c r="M57" s="9"/>
      <c r="N57" s="9"/>
      <c r="O57" s="9"/>
      <c r="P57" s="9"/>
      <c r="Q57" s="9"/>
      <c r="R57" s="9"/>
      <c r="S57" s="9"/>
    </row>
    <row r="58" spans="2:19" ht="12.75">
      <c r="B58" s="428"/>
      <c r="C58" s="402"/>
      <c r="D58" s="72"/>
      <c r="E58" s="72"/>
      <c r="F58" s="72"/>
      <c r="G58" s="73"/>
      <c r="H58" s="283"/>
      <c r="I58" s="9"/>
      <c r="J58" s="9"/>
      <c r="K58" s="9"/>
      <c r="L58" s="9"/>
      <c r="M58" s="9"/>
      <c r="N58" s="9"/>
      <c r="O58" s="9"/>
      <c r="P58" s="9"/>
      <c r="Q58" s="9"/>
      <c r="R58" s="9"/>
      <c r="S58" s="9"/>
    </row>
    <row r="59" spans="2:19" ht="12.75">
      <c r="B59" s="427" t="s">
        <v>91</v>
      </c>
      <c r="C59" s="440">
        <v>-36</v>
      </c>
      <c r="D59" s="73">
        <v>-35</v>
      </c>
      <c r="E59" s="73">
        <v>-37</v>
      </c>
      <c r="F59" s="73">
        <v>-37</v>
      </c>
      <c r="G59" s="73">
        <v>-31</v>
      </c>
      <c r="H59" s="283">
        <v>-44</v>
      </c>
      <c r="I59" s="9"/>
      <c r="J59" s="9"/>
      <c r="K59" s="9"/>
      <c r="L59" s="9"/>
      <c r="M59" s="9"/>
      <c r="N59" s="9"/>
      <c r="O59" s="9"/>
      <c r="P59" s="9"/>
      <c r="Q59" s="9"/>
      <c r="R59" s="9"/>
      <c r="S59" s="9"/>
    </row>
    <row r="60" spans="2:19" ht="12.75">
      <c r="B60" s="428"/>
      <c r="C60" s="226"/>
      <c r="D60" s="223"/>
      <c r="E60" s="223"/>
      <c r="F60" s="223"/>
      <c r="G60" s="223"/>
      <c r="H60" s="227"/>
      <c r="I60" s="9"/>
      <c r="J60" s="9"/>
      <c r="K60" s="9"/>
      <c r="L60" s="9"/>
      <c r="M60" s="9"/>
      <c r="N60" s="9"/>
      <c r="O60" s="9"/>
      <c r="P60" s="9"/>
      <c r="Q60" s="9"/>
      <c r="R60" s="9"/>
      <c r="S60" s="9"/>
    </row>
    <row r="61" spans="1:8" s="6" customFormat="1" ht="12.75">
      <c r="A61" s="210"/>
      <c r="B61" s="426" t="s">
        <v>92</v>
      </c>
      <c r="C61" s="78">
        <f aca="true" t="shared" si="9" ref="C61:H61">+SUM(C52:C59)</f>
        <v>9801</v>
      </c>
      <c r="D61" s="79">
        <f t="shared" si="9"/>
        <v>9690</v>
      </c>
      <c r="E61" s="79">
        <f t="shared" si="9"/>
        <v>8903</v>
      </c>
      <c r="F61" s="79">
        <f t="shared" si="9"/>
        <v>8903</v>
      </c>
      <c r="G61" s="79">
        <f t="shared" si="9"/>
        <v>7023</v>
      </c>
      <c r="H61" s="80">
        <f t="shared" si="9"/>
        <v>7327</v>
      </c>
    </row>
    <row r="62" spans="2:19" ht="12.75">
      <c r="B62" s="428"/>
      <c r="C62" s="222"/>
      <c r="D62" s="219"/>
      <c r="E62" s="219"/>
      <c r="F62" s="219"/>
      <c r="G62" s="219"/>
      <c r="H62" s="224"/>
      <c r="I62" s="9"/>
      <c r="J62" s="9"/>
      <c r="K62" s="9"/>
      <c r="L62" s="9"/>
      <c r="M62" s="9"/>
      <c r="N62" s="9"/>
      <c r="O62" s="9"/>
      <c r="P62" s="9"/>
      <c r="Q62" s="9"/>
      <c r="R62" s="9"/>
      <c r="S62" s="9"/>
    </row>
    <row r="63" spans="2:19" ht="12.75">
      <c r="B63" s="427" t="s">
        <v>93</v>
      </c>
      <c r="C63" s="402">
        <f>+'Quarterly Data'!J49</f>
        <v>7126</v>
      </c>
      <c r="D63" s="72">
        <f>+'Quarterly Data'!R49</f>
        <v>7126</v>
      </c>
      <c r="E63" s="72">
        <f>+'Quarterly Data'!Z49</f>
        <v>6627</v>
      </c>
      <c r="F63" s="72">
        <f>+'Quarterly Data'!AH49</f>
        <v>6627</v>
      </c>
      <c r="G63" s="72">
        <f>+'Quarterly Data'!AP49</f>
        <v>5439</v>
      </c>
      <c r="H63" s="209">
        <f>+'Quarterly Data'!AX49</f>
        <v>5955</v>
      </c>
      <c r="I63" s="9"/>
      <c r="J63" s="9"/>
      <c r="K63" s="9"/>
      <c r="L63" s="9"/>
      <c r="M63" s="9"/>
      <c r="N63" s="9"/>
      <c r="O63" s="9"/>
      <c r="P63" s="9"/>
      <c r="Q63" s="9"/>
      <c r="R63" s="9"/>
      <c r="S63" s="9"/>
    </row>
    <row r="64" spans="2:19" ht="12.75">
      <c r="B64" s="427" t="s">
        <v>121</v>
      </c>
      <c r="C64" s="440">
        <v>126</v>
      </c>
      <c r="D64" s="73">
        <v>113</v>
      </c>
      <c r="E64" s="73">
        <v>510</v>
      </c>
      <c r="F64" s="73">
        <v>510</v>
      </c>
      <c r="G64" s="73">
        <v>437</v>
      </c>
      <c r="H64" s="283">
        <v>310</v>
      </c>
      <c r="I64" s="9"/>
      <c r="J64" s="9"/>
      <c r="K64" s="9"/>
      <c r="L64" s="9"/>
      <c r="M64" s="9"/>
      <c r="N64" s="9"/>
      <c r="O64" s="9"/>
      <c r="P64" s="9"/>
      <c r="Q64" s="9"/>
      <c r="R64" s="9"/>
      <c r="S64" s="9"/>
    </row>
    <row r="65" spans="1:8" s="6" customFormat="1" ht="12.75">
      <c r="A65" s="210"/>
      <c r="B65" s="426" t="s">
        <v>94</v>
      </c>
      <c r="C65" s="78">
        <f aca="true" t="shared" si="10" ref="C65:H65">+C63+C64</f>
        <v>7252</v>
      </c>
      <c r="D65" s="79">
        <f t="shared" si="10"/>
        <v>7239</v>
      </c>
      <c r="E65" s="79">
        <f t="shared" si="10"/>
        <v>7137</v>
      </c>
      <c r="F65" s="79">
        <f t="shared" si="10"/>
        <v>7137</v>
      </c>
      <c r="G65" s="79">
        <f t="shared" si="10"/>
        <v>5876</v>
      </c>
      <c r="H65" s="80">
        <f t="shared" si="10"/>
        <v>6265</v>
      </c>
    </row>
    <row r="66" spans="1:8" s="6" customFormat="1" ht="12.75">
      <c r="A66" s="210"/>
      <c r="B66" s="433"/>
      <c r="C66" s="420"/>
      <c r="D66" s="221"/>
      <c r="E66" s="221"/>
      <c r="F66" s="221"/>
      <c r="G66" s="221"/>
      <c r="H66" s="232"/>
    </row>
    <row r="67" spans="1:8" s="6" customFormat="1" ht="12.75">
      <c r="A67" s="210"/>
      <c r="B67" s="426" t="s">
        <v>95</v>
      </c>
      <c r="C67" s="78">
        <f>+'Quarterly Data'!J51</f>
        <v>2549</v>
      </c>
      <c r="D67" s="79">
        <f>+'Quarterly Data'!R51</f>
        <v>2451</v>
      </c>
      <c r="E67" s="79">
        <f>+'Quarterly Data'!Z51</f>
        <v>1766</v>
      </c>
      <c r="F67" s="79">
        <f>+'Quarterly Data'!AH51</f>
        <v>1766</v>
      </c>
      <c r="G67" s="79">
        <f>+'Quarterly Data'!AP51</f>
        <v>1147</v>
      </c>
      <c r="H67" s="80">
        <f>+'Quarterly Data'!AX51</f>
        <v>1062</v>
      </c>
    </row>
    <row r="68" spans="2:19" ht="12.75">
      <c r="B68" s="428"/>
      <c r="C68" s="222"/>
      <c r="D68" s="219"/>
      <c r="E68" s="219"/>
      <c r="F68" s="219"/>
      <c r="G68" s="219"/>
      <c r="H68" s="224"/>
      <c r="I68" s="9"/>
      <c r="J68" s="9"/>
      <c r="K68" s="9"/>
      <c r="L68" s="9"/>
      <c r="M68" s="9"/>
      <c r="N68" s="9"/>
      <c r="O68" s="9"/>
      <c r="P68" s="9"/>
      <c r="Q68" s="9"/>
      <c r="R68" s="9"/>
      <c r="S68" s="9"/>
    </row>
    <row r="69" spans="1:8" s="18" customFormat="1" ht="12.75">
      <c r="A69" s="231"/>
      <c r="B69" s="434" t="s">
        <v>0</v>
      </c>
      <c r="C69" s="441">
        <f aca="true" t="shared" si="11" ref="C69:H69">+C61-C65-C67</f>
        <v>0</v>
      </c>
      <c r="D69" s="284">
        <f t="shared" si="11"/>
        <v>0</v>
      </c>
      <c r="E69" s="284">
        <f t="shared" si="11"/>
        <v>0</v>
      </c>
      <c r="F69" s="284">
        <f t="shared" si="11"/>
        <v>0</v>
      </c>
      <c r="G69" s="284">
        <f t="shared" si="11"/>
        <v>0</v>
      </c>
      <c r="H69" s="327">
        <f t="shared" si="11"/>
        <v>0</v>
      </c>
    </row>
    <row r="70" spans="3:19" ht="12.75">
      <c r="C70" s="212"/>
      <c r="D70" s="212"/>
      <c r="E70" s="212"/>
      <c r="F70" s="212"/>
      <c r="G70" s="212"/>
      <c r="I70" s="223"/>
      <c r="J70" s="223"/>
      <c r="K70" s="223"/>
      <c r="L70" s="223"/>
      <c r="M70" s="223"/>
      <c r="N70" s="223"/>
      <c r="O70" s="223"/>
      <c r="P70" s="9"/>
      <c r="Q70" s="9"/>
      <c r="R70" s="9"/>
      <c r="S70" s="9"/>
    </row>
    <row r="71" spans="3:19" ht="12.75">
      <c r="C71" s="212"/>
      <c r="D71" s="212"/>
      <c r="E71" s="212"/>
      <c r="F71" s="212"/>
      <c r="G71" s="212"/>
      <c r="I71" s="223"/>
      <c r="J71" s="223"/>
      <c r="K71" s="223"/>
      <c r="L71" s="223"/>
      <c r="M71" s="223"/>
      <c r="N71" s="223"/>
      <c r="O71" s="223"/>
      <c r="P71" s="9"/>
      <c r="Q71" s="9"/>
      <c r="R71" s="9"/>
      <c r="S71" s="9"/>
    </row>
    <row r="72" spans="8:19" ht="12.75">
      <c r="H72" s="9"/>
      <c r="I72" s="223"/>
      <c r="J72" s="223"/>
      <c r="K72" s="223"/>
      <c r="L72" s="223"/>
      <c r="M72" s="223"/>
      <c r="N72" s="223"/>
      <c r="O72" s="223"/>
      <c r="P72" s="9"/>
      <c r="Q72" s="9"/>
      <c r="R72" s="9"/>
      <c r="S72" s="9"/>
    </row>
    <row r="73" spans="2:19" ht="12.75">
      <c r="B73" s="194"/>
      <c r="H73" s="9"/>
      <c r="I73" s="9"/>
      <c r="J73" s="9"/>
      <c r="K73" s="9"/>
      <c r="L73" s="9"/>
      <c r="M73" s="9"/>
      <c r="N73" s="9"/>
      <c r="O73" s="9"/>
      <c r="P73" s="9"/>
      <c r="Q73" s="9"/>
      <c r="R73" s="9"/>
      <c r="S73" s="9"/>
    </row>
    <row r="74" spans="2:19" ht="12.75">
      <c r="B74" s="814" t="s">
        <v>19</v>
      </c>
      <c r="C74" s="818"/>
      <c r="D74" s="819"/>
      <c r="E74" s="819"/>
      <c r="F74" s="819"/>
      <c r="G74" s="819"/>
      <c r="H74" s="820"/>
      <c r="I74" s="9"/>
      <c r="J74" s="9"/>
      <c r="K74" s="9"/>
      <c r="L74" s="9"/>
      <c r="M74" s="9"/>
      <c r="N74" s="9"/>
      <c r="O74" s="9"/>
      <c r="P74" s="9"/>
      <c r="Q74" s="9"/>
      <c r="R74" s="9"/>
      <c r="S74" s="9"/>
    </row>
    <row r="75" spans="2:19" ht="12.75">
      <c r="B75" s="815"/>
      <c r="C75" s="444" t="s">
        <v>503</v>
      </c>
      <c r="D75" s="445" t="str">
        <f>+D5</f>
        <v>2013 Restated</v>
      </c>
      <c r="E75" s="446">
        <f>+E5</f>
        <v>2014</v>
      </c>
      <c r="F75" s="445" t="str">
        <f>+F5</f>
        <v>2014 Restated</v>
      </c>
      <c r="G75" s="446">
        <f>+G5</f>
        <v>2015</v>
      </c>
      <c r="H75" s="447" t="str">
        <f>+H5</f>
        <v>2016 (1)</v>
      </c>
      <c r="I75" s="9"/>
      <c r="J75" s="9"/>
      <c r="K75" s="9"/>
      <c r="L75" s="9"/>
      <c r="M75" s="9"/>
      <c r="N75" s="9"/>
      <c r="O75" s="9"/>
      <c r="P75" s="9"/>
      <c r="Q75" s="9"/>
      <c r="R75" s="9"/>
      <c r="S75" s="9"/>
    </row>
    <row r="76" spans="2:19" ht="12.75">
      <c r="B76" s="428"/>
      <c r="C76" s="222"/>
      <c r="D76" s="219"/>
      <c r="E76" s="234"/>
      <c r="F76" s="234"/>
      <c r="G76" s="234"/>
      <c r="H76" s="324"/>
      <c r="I76" s="9"/>
      <c r="J76" s="9"/>
      <c r="K76" s="9"/>
      <c r="L76" s="9"/>
      <c r="M76" s="9"/>
      <c r="N76" s="9"/>
      <c r="O76" s="9"/>
      <c r="P76" s="9"/>
      <c r="Q76" s="9"/>
      <c r="R76" s="9"/>
      <c r="S76" s="9"/>
    </row>
    <row r="77" spans="2:19" ht="12.75">
      <c r="B77" s="426" t="s">
        <v>410</v>
      </c>
      <c r="C77" s="442"/>
      <c r="D77" s="235">
        <v>2508</v>
      </c>
      <c r="E77" s="79">
        <f>+D94</f>
        <v>2451</v>
      </c>
      <c r="F77" s="79">
        <f>+D67</f>
        <v>2451</v>
      </c>
      <c r="G77" s="79">
        <f>+E94</f>
        <v>1766</v>
      </c>
      <c r="H77" s="80">
        <f>+G94</f>
        <v>1147</v>
      </c>
      <c r="I77" s="9"/>
      <c r="J77" s="9"/>
      <c r="K77" s="9"/>
      <c r="L77" s="9"/>
      <c r="M77" s="9"/>
      <c r="N77" s="9"/>
      <c r="O77" s="9"/>
      <c r="P77" s="9"/>
      <c r="Q77" s="9"/>
      <c r="R77" s="9"/>
      <c r="S77" s="9"/>
    </row>
    <row r="78" spans="2:19" ht="12.75">
      <c r="B78" s="428"/>
      <c r="C78" s="222"/>
      <c r="D78" s="219"/>
      <c r="E78" s="219"/>
      <c r="F78" s="219"/>
      <c r="G78" s="219"/>
      <c r="H78" s="224"/>
      <c r="I78" s="9"/>
      <c r="J78" s="9"/>
      <c r="K78" s="9"/>
      <c r="L78" s="9"/>
      <c r="M78" s="9"/>
      <c r="N78" s="9"/>
      <c r="O78" s="9"/>
      <c r="P78" s="9"/>
      <c r="Q78" s="9"/>
      <c r="R78" s="9"/>
      <c r="S78" s="9"/>
    </row>
    <row r="79" spans="2:19" ht="12.75">
      <c r="B79" s="427" t="s">
        <v>1</v>
      </c>
      <c r="C79" s="222"/>
      <c r="D79" s="219">
        <f>+D24</f>
        <v>970</v>
      </c>
      <c r="E79" s="219">
        <f>+E24</f>
        <v>814</v>
      </c>
      <c r="F79" s="219">
        <f>+E24</f>
        <v>814</v>
      </c>
      <c r="G79" s="219">
        <f>+G24</f>
        <v>1261</v>
      </c>
      <c r="H79" s="224">
        <f>+H24</f>
        <v>653</v>
      </c>
      <c r="I79" s="9"/>
      <c r="J79" s="9"/>
      <c r="K79" s="9"/>
      <c r="L79" s="9"/>
      <c r="M79" s="9"/>
      <c r="N79" s="9"/>
      <c r="O79" s="9"/>
      <c r="P79" s="9"/>
      <c r="Q79" s="9"/>
      <c r="R79" s="9"/>
      <c r="S79" s="9"/>
    </row>
    <row r="80" spans="2:19" ht="12.75">
      <c r="B80" s="427" t="s">
        <v>255</v>
      </c>
      <c r="C80" s="443"/>
      <c r="D80" s="76">
        <v>-83</v>
      </c>
      <c r="E80" s="76">
        <v>-25</v>
      </c>
      <c r="F80" s="76">
        <v>-25</v>
      </c>
      <c r="G80" s="76">
        <v>38</v>
      </c>
      <c r="H80" s="77">
        <v>-76</v>
      </c>
      <c r="I80" s="9"/>
      <c r="J80" s="9"/>
      <c r="K80" s="9"/>
      <c r="L80" s="9"/>
      <c r="M80" s="9"/>
      <c r="N80" s="9"/>
      <c r="O80" s="9"/>
      <c r="P80" s="9"/>
      <c r="Q80" s="9"/>
      <c r="R80" s="9"/>
      <c r="S80" s="9"/>
    </row>
    <row r="81" spans="2:19" ht="12.75">
      <c r="B81" s="427" t="s">
        <v>274</v>
      </c>
      <c r="C81" s="443"/>
      <c r="D81" s="76">
        <v>-93</v>
      </c>
      <c r="E81" s="76">
        <v>-98</v>
      </c>
      <c r="F81" s="76">
        <v>-98</v>
      </c>
      <c r="G81" s="76">
        <v>-45</v>
      </c>
      <c r="H81" s="77">
        <v>-55</v>
      </c>
      <c r="I81" s="9"/>
      <c r="J81" s="9"/>
      <c r="K81" s="9"/>
      <c r="L81" s="9"/>
      <c r="M81" s="9"/>
      <c r="N81" s="9"/>
      <c r="O81" s="9"/>
      <c r="P81" s="9"/>
      <c r="Q81" s="9"/>
      <c r="R81" s="9"/>
      <c r="S81" s="9"/>
    </row>
    <row r="82" spans="1:8" s="10" customFormat="1" ht="12.75">
      <c r="A82" s="216"/>
      <c r="B82" s="427" t="s">
        <v>275</v>
      </c>
      <c r="C82" s="443"/>
      <c r="D82" s="76">
        <v>-170</v>
      </c>
      <c r="E82" s="76">
        <v>-249</v>
      </c>
      <c r="F82" s="76">
        <v>-249</v>
      </c>
      <c r="G82" s="76">
        <v>-120</v>
      </c>
      <c r="H82" s="77">
        <v>-196</v>
      </c>
    </row>
    <row r="83" spans="1:8" s="10" customFormat="1" ht="12.75">
      <c r="A83" s="216"/>
      <c r="B83" s="427" t="s">
        <v>96</v>
      </c>
      <c r="C83" s="443"/>
      <c r="D83" s="76">
        <v>5</v>
      </c>
      <c r="E83" s="76">
        <v>9</v>
      </c>
      <c r="F83" s="76">
        <v>9</v>
      </c>
      <c r="G83" s="76">
        <v>8</v>
      </c>
      <c r="H83" s="77">
        <v>12</v>
      </c>
    </row>
    <row r="84" spans="1:8" s="10" customFormat="1" ht="12.75">
      <c r="A84" s="216"/>
      <c r="B84" s="427" t="s">
        <v>276</v>
      </c>
      <c r="C84" s="443"/>
      <c r="D84" s="76">
        <v>-15</v>
      </c>
      <c r="E84" s="76">
        <v>-21</v>
      </c>
      <c r="F84" s="76">
        <v>-21</v>
      </c>
      <c r="G84" s="76">
        <v>-16</v>
      </c>
      <c r="H84" s="77">
        <v>-15</v>
      </c>
    </row>
    <row r="85" spans="1:8" s="10" customFormat="1" ht="12.75">
      <c r="A85" s="216"/>
      <c r="B85" s="426" t="s">
        <v>277</v>
      </c>
      <c r="C85" s="197"/>
      <c r="D85" s="195">
        <f>+SUM(D79:D84)</f>
        <v>614</v>
      </c>
      <c r="E85" s="195">
        <f>+SUM(E79:E84)</f>
        <v>430</v>
      </c>
      <c r="F85" s="195">
        <f>+F79+F80+F81+F82+F83+F84</f>
        <v>430</v>
      </c>
      <c r="G85" s="195">
        <f>+SUM(G79:G84)</f>
        <v>1126</v>
      </c>
      <c r="H85" s="196">
        <f>+SUM(H79:H84)</f>
        <v>323</v>
      </c>
    </row>
    <row r="86" spans="1:8" s="10" customFormat="1" ht="12.75">
      <c r="A86" s="216"/>
      <c r="B86" s="427" t="s">
        <v>278</v>
      </c>
      <c r="C86" s="443"/>
      <c r="D86" s="76">
        <v>-62</v>
      </c>
      <c r="E86" s="76">
        <v>408</v>
      </c>
      <c r="F86" s="76">
        <v>408</v>
      </c>
      <c r="G86" s="76">
        <v>19</v>
      </c>
      <c r="H86" s="77">
        <v>649</v>
      </c>
    </row>
    <row r="87" spans="1:8" s="10" customFormat="1" ht="12.75">
      <c r="A87" s="216"/>
      <c r="B87" s="427" t="s">
        <v>256</v>
      </c>
      <c r="C87" s="443"/>
      <c r="D87" s="76">
        <v>-201</v>
      </c>
      <c r="E87" s="76">
        <v>23</v>
      </c>
      <c r="F87" s="76">
        <v>23</v>
      </c>
      <c r="G87" s="76">
        <v>40</v>
      </c>
      <c r="H87" s="77">
        <v>-177</v>
      </c>
    </row>
    <row r="88" spans="1:8" s="10" customFormat="1" ht="12.75">
      <c r="A88" s="216"/>
      <c r="B88" s="427" t="s">
        <v>279</v>
      </c>
      <c r="C88" s="443"/>
      <c r="D88" s="76">
        <v>-308</v>
      </c>
      <c r="E88" s="76">
        <v>-92</v>
      </c>
      <c r="F88" s="76">
        <v>-92</v>
      </c>
      <c r="G88" s="76">
        <v>-535</v>
      </c>
      <c r="H88" s="77">
        <v>-555</v>
      </c>
    </row>
    <row r="89" spans="2:19" ht="12.75">
      <c r="B89" s="435" t="s">
        <v>280</v>
      </c>
      <c r="C89" s="197"/>
      <c r="D89" s="195">
        <f>+SUM(D85:D88)</f>
        <v>43</v>
      </c>
      <c r="E89" s="195">
        <f>+SUM(E85:E88)</f>
        <v>769</v>
      </c>
      <c r="F89" s="195">
        <f>+F85+F86+F87+F88</f>
        <v>769</v>
      </c>
      <c r="G89" s="195">
        <f>+SUM(G85:G88)</f>
        <v>650</v>
      </c>
      <c r="H89" s="196">
        <f>+SUM(H85:H88)</f>
        <v>240</v>
      </c>
      <c r="I89" s="9"/>
      <c r="J89" s="9"/>
      <c r="K89" s="9"/>
      <c r="L89" s="9"/>
      <c r="M89" s="9"/>
      <c r="N89" s="9"/>
      <c r="O89" s="9"/>
      <c r="P89" s="9"/>
      <c r="Q89" s="9"/>
      <c r="R89" s="9"/>
      <c r="S89" s="9"/>
    </row>
    <row r="90" spans="2:19" ht="12.75">
      <c r="B90" s="427" t="s">
        <v>281</v>
      </c>
      <c r="C90" s="443"/>
      <c r="D90" s="76">
        <v>-20</v>
      </c>
      <c r="E90" s="76">
        <v>-76</v>
      </c>
      <c r="F90" s="76">
        <v>-76</v>
      </c>
      <c r="G90" s="76">
        <v>-93</v>
      </c>
      <c r="H90" s="77">
        <v>-77</v>
      </c>
      <c r="I90" s="9"/>
      <c r="J90" s="9"/>
      <c r="K90" s="9"/>
      <c r="L90" s="9"/>
      <c r="M90" s="9"/>
      <c r="N90" s="9"/>
      <c r="O90" s="9"/>
      <c r="P90" s="9"/>
      <c r="Q90" s="9"/>
      <c r="R90" s="9"/>
      <c r="S90" s="9"/>
    </row>
    <row r="91" spans="2:19" ht="12.75">
      <c r="B91" s="427" t="s">
        <v>257</v>
      </c>
      <c r="C91" s="443"/>
      <c r="D91" s="76">
        <v>34</v>
      </c>
      <c r="E91" s="76">
        <v>-8</v>
      </c>
      <c r="F91" s="76">
        <v>-8</v>
      </c>
      <c r="G91" s="76">
        <v>62</v>
      </c>
      <c r="H91" s="77">
        <v>-78</v>
      </c>
      <c r="I91" s="9"/>
      <c r="J91" s="9"/>
      <c r="K91" s="9"/>
      <c r="L91" s="9"/>
      <c r="M91" s="9"/>
      <c r="N91" s="9"/>
      <c r="O91" s="9"/>
      <c r="P91" s="9"/>
      <c r="Q91" s="9"/>
      <c r="R91" s="9"/>
      <c r="S91" s="9"/>
    </row>
    <row r="92" spans="2:19" ht="12.75">
      <c r="B92" s="435" t="s">
        <v>282</v>
      </c>
      <c r="C92" s="197"/>
      <c r="D92" s="195">
        <f>+SUM(D89:D91)</f>
        <v>57</v>
      </c>
      <c r="E92" s="195">
        <f>+SUM(E89:E91)</f>
        <v>685</v>
      </c>
      <c r="F92" s="195">
        <f>+F89+F90+F91</f>
        <v>685</v>
      </c>
      <c r="G92" s="195">
        <f>+SUM(G89:G91)</f>
        <v>619</v>
      </c>
      <c r="H92" s="196">
        <f>+SUM(H89:H91)</f>
        <v>85</v>
      </c>
      <c r="I92" s="9"/>
      <c r="J92" s="9"/>
      <c r="K92" s="9"/>
      <c r="L92" s="9"/>
      <c r="M92" s="9"/>
      <c r="N92" s="9"/>
      <c r="O92" s="9"/>
      <c r="P92" s="9"/>
      <c r="Q92" s="9"/>
      <c r="R92" s="9"/>
      <c r="S92" s="9"/>
    </row>
    <row r="93" spans="2:19" ht="12.75">
      <c r="B93" s="428"/>
      <c r="C93" s="222"/>
      <c r="D93" s="219"/>
      <c r="E93" s="219"/>
      <c r="F93" s="219"/>
      <c r="G93" s="219"/>
      <c r="H93" s="224"/>
      <c r="I93" s="9"/>
      <c r="J93" s="9"/>
      <c r="K93" s="9"/>
      <c r="L93" s="9"/>
      <c r="M93" s="9"/>
      <c r="N93" s="9"/>
      <c r="O93" s="9"/>
      <c r="P93" s="9"/>
      <c r="Q93" s="9"/>
      <c r="R93" s="9"/>
      <c r="S93" s="9"/>
    </row>
    <row r="94" spans="2:19" ht="12.75">
      <c r="B94" s="436" t="s">
        <v>283</v>
      </c>
      <c r="C94" s="198"/>
      <c r="D94" s="199">
        <f>+D77-D92</f>
        <v>2451</v>
      </c>
      <c r="E94" s="199">
        <f>+E77-E92</f>
        <v>1766</v>
      </c>
      <c r="F94" s="199">
        <f>+F77-F92</f>
        <v>1766</v>
      </c>
      <c r="G94" s="199">
        <f>+G77-G92</f>
        <v>1147</v>
      </c>
      <c r="H94" s="200">
        <f>+H77-H92</f>
        <v>1062</v>
      </c>
      <c r="I94" s="9"/>
      <c r="J94" s="9"/>
      <c r="K94" s="9"/>
      <c r="L94" s="9"/>
      <c r="M94" s="9"/>
      <c r="N94" s="9"/>
      <c r="O94" s="9"/>
      <c r="P94" s="9"/>
      <c r="Q94" s="9"/>
      <c r="R94" s="9"/>
      <c r="S94" s="9"/>
    </row>
    <row r="95" spans="9:19" ht="12.75">
      <c r="I95" s="9"/>
      <c r="J95" s="9"/>
      <c r="K95" s="9"/>
      <c r="L95" s="9"/>
      <c r="M95" s="9"/>
      <c r="N95" s="9"/>
      <c r="O95" s="9"/>
      <c r="P95" s="9"/>
      <c r="Q95" s="9"/>
      <c r="R95" s="9"/>
      <c r="S95" s="9"/>
    </row>
    <row r="96" spans="2:19" ht="12.75">
      <c r="B96" s="318" t="s">
        <v>372</v>
      </c>
      <c r="C96" s="318"/>
      <c r="D96" s="318"/>
      <c r="E96" s="318"/>
      <c r="F96" s="318"/>
      <c r="G96" s="318"/>
      <c r="H96" s="318"/>
      <c r="I96" s="9"/>
      <c r="J96" s="9"/>
      <c r="K96" s="9"/>
      <c r="L96" s="9"/>
      <c r="M96" s="9"/>
      <c r="N96" s="9"/>
      <c r="O96" s="9"/>
      <c r="P96" s="9"/>
      <c r="Q96" s="9"/>
      <c r="R96" s="9"/>
      <c r="S96" s="9"/>
    </row>
    <row r="97" spans="2:24" ht="12.75">
      <c r="B97" s="317" t="s">
        <v>374</v>
      </c>
      <c r="C97" s="317"/>
      <c r="D97" s="317"/>
      <c r="E97" s="317"/>
      <c r="F97" s="317"/>
      <c r="G97" s="317"/>
      <c r="H97" s="317"/>
      <c r="I97" s="329"/>
      <c r="J97" s="329"/>
      <c r="K97" s="329"/>
      <c r="L97" s="329"/>
      <c r="M97" s="329"/>
      <c r="N97" s="329"/>
      <c r="O97" s="329"/>
      <c r="P97" s="329"/>
      <c r="Q97" s="329"/>
      <c r="R97" s="329"/>
      <c r="S97" s="329"/>
      <c r="T97" s="329"/>
      <c r="U97" s="329"/>
      <c r="V97" s="329"/>
      <c r="W97" s="329"/>
      <c r="X97" s="329"/>
    </row>
    <row r="98" spans="2:19" ht="12.75">
      <c r="B98" s="211" t="s">
        <v>378</v>
      </c>
      <c r="I98" s="9"/>
      <c r="J98" s="9"/>
      <c r="K98" s="9"/>
      <c r="L98" s="9"/>
      <c r="M98" s="9"/>
      <c r="N98" s="9"/>
      <c r="O98" s="9"/>
      <c r="P98" s="9"/>
      <c r="Q98" s="9"/>
      <c r="R98" s="9"/>
      <c r="S98" s="9"/>
    </row>
    <row r="99" spans="9:19" ht="12.75">
      <c r="I99" s="9"/>
      <c r="J99" s="9"/>
      <c r="K99" s="9"/>
      <c r="L99" s="9"/>
      <c r="M99" s="9"/>
      <c r="N99" s="9"/>
      <c r="O99" s="9"/>
      <c r="P99" s="9"/>
      <c r="Q99" s="9"/>
      <c r="R99" s="9"/>
      <c r="S99" s="9"/>
    </row>
    <row r="100" spans="1:8" s="18" customFormat="1" ht="12.75">
      <c r="A100" s="231"/>
      <c r="B100" s="211"/>
      <c r="C100" s="211"/>
      <c r="D100" s="211"/>
      <c r="E100" s="211"/>
      <c r="F100" s="211"/>
      <c r="G100" s="211"/>
      <c r="H100" s="212"/>
    </row>
    <row r="101" spans="9:19" ht="12.75">
      <c r="I101" s="9"/>
      <c r="J101" s="9"/>
      <c r="K101" s="9"/>
      <c r="L101" s="9"/>
      <c r="M101" s="9"/>
      <c r="N101" s="9"/>
      <c r="O101" s="9"/>
      <c r="P101" s="9"/>
      <c r="Q101" s="9"/>
      <c r="R101" s="9"/>
      <c r="S101" s="9"/>
    </row>
    <row r="102" spans="9:19" ht="12.75">
      <c r="I102" s="9"/>
      <c r="J102" s="9"/>
      <c r="K102" s="9"/>
      <c r="L102" s="9"/>
      <c r="M102" s="9"/>
      <c r="N102" s="9"/>
      <c r="O102" s="9"/>
      <c r="P102" s="9"/>
      <c r="Q102" s="9"/>
      <c r="R102" s="9"/>
      <c r="S102" s="9"/>
    </row>
    <row r="103" spans="9:19" ht="12.75">
      <c r="I103" s="9"/>
      <c r="J103" s="9"/>
      <c r="K103" s="9"/>
      <c r="L103" s="9"/>
      <c r="M103" s="9"/>
      <c r="N103" s="9"/>
      <c r="O103" s="9"/>
      <c r="P103" s="9"/>
      <c r="Q103" s="9"/>
      <c r="R103" s="9"/>
      <c r="S103" s="9"/>
    </row>
    <row r="104" spans="9:19" ht="12.75">
      <c r="I104" s="9"/>
      <c r="J104" s="9"/>
      <c r="K104" s="9"/>
      <c r="L104" s="9"/>
      <c r="M104" s="9"/>
      <c r="N104" s="9"/>
      <c r="O104" s="9"/>
      <c r="P104" s="9"/>
      <c r="Q104" s="9"/>
      <c r="R104" s="9"/>
      <c r="S104" s="9"/>
    </row>
    <row r="105" spans="9:19" ht="12.75">
      <c r="I105" s="9"/>
      <c r="J105" s="9"/>
      <c r="K105" s="9"/>
      <c r="L105" s="9"/>
      <c r="M105" s="9"/>
      <c r="N105" s="9"/>
      <c r="O105" s="9"/>
      <c r="P105" s="9"/>
      <c r="Q105" s="9"/>
      <c r="R105" s="9"/>
      <c r="S105" s="9"/>
    </row>
    <row r="106" spans="9:19" ht="12.75">
      <c r="I106" s="9"/>
      <c r="J106" s="9"/>
      <c r="K106" s="9"/>
      <c r="L106" s="9"/>
      <c r="M106" s="9"/>
      <c r="N106" s="9"/>
      <c r="O106" s="9"/>
      <c r="P106" s="9"/>
      <c r="Q106" s="9"/>
      <c r="R106" s="9"/>
      <c r="S106" s="9"/>
    </row>
    <row r="107" spans="9:19" ht="12.75">
      <c r="I107" s="9"/>
      <c r="J107" s="9"/>
      <c r="K107" s="9"/>
      <c r="L107" s="9"/>
      <c r="M107" s="9"/>
      <c r="N107" s="9"/>
      <c r="O107" s="9"/>
      <c r="P107" s="9"/>
      <c r="Q107" s="9"/>
      <c r="R107" s="9"/>
      <c r="S107" s="9"/>
    </row>
    <row r="108" spans="9:19" ht="12.75">
      <c r="I108" s="9"/>
      <c r="J108" s="9"/>
      <c r="K108" s="9"/>
      <c r="L108" s="9"/>
      <c r="M108" s="9"/>
      <c r="N108" s="9"/>
      <c r="O108" s="9"/>
      <c r="P108" s="9"/>
      <c r="Q108" s="9"/>
      <c r="R108" s="9"/>
      <c r="S108" s="9"/>
    </row>
    <row r="109" spans="9:19" ht="12.75">
      <c r="I109" s="9"/>
      <c r="J109" s="9"/>
      <c r="K109" s="9"/>
      <c r="L109" s="9"/>
      <c r="M109" s="9"/>
      <c r="N109" s="9"/>
      <c r="O109" s="9"/>
      <c r="P109" s="9"/>
      <c r="Q109" s="9"/>
      <c r="R109" s="9"/>
      <c r="S109" s="9"/>
    </row>
    <row r="110" spans="9:19" ht="12.75">
      <c r="I110" s="9"/>
      <c r="J110" s="9"/>
      <c r="K110" s="9"/>
      <c r="L110" s="9"/>
      <c r="M110" s="9"/>
      <c r="N110" s="9"/>
      <c r="O110" s="9"/>
      <c r="P110" s="9"/>
      <c r="Q110" s="9"/>
      <c r="R110" s="9"/>
      <c r="S110" s="9"/>
    </row>
    <row r="111" spans="9:19" ht="12.75">
      <c r="I111" s="9"/>
      <c r="J111" s="9"/>
      <c r="K111" s="9"/>
      <c r="L111" s="9"/>
      <c r="M111" s="9"/>
      <c r="N111" s="9"/>
      <c r="O111" s="9"/>
      <c r="P111" s="9"/>
      <c r="Q111" s="9"/>
      <c r="R111" s="9"/>
      <c r="S111" s="9"/>
    </row>
    <row r="112" spans="9:19" ht="12.75">
      <c r="I112" s="9"/>
      <c r="J112" s="9"/>
      <c r="K112" s="9"/>
      <c r="L112" s="9"/>
      <c r="M112" s="9"/>
      <c r="N112" s="9"/>
      <c r="O112" s="9"/>
      <c r="P112" s="9"/>
      <c r="Q112" s="9"/>
      <c r="R112" s="9"/>
      <c r="S112" s="9"/>
    </row>
    <row r="113" spans="9:19" ht="12.75">
      <c r="I113" s="9"/>
      <c r="J113" s="9"/>
      <c r="K113" s="9"/>
      <c r="L113" s="9"/>
      <c r="M113" s="9"/>
      <c r="N113" s="9"/>
      <c r="O113" s="9"/>
      <c r="P113" s="9"/>
      <c r="Q113" s="9"/>
      <c r="R113" s="9"/>
      <c r="S113" s="9"/>
    </row>
    <row r="114" spans="9:19" ht="12.75">
      <c r="I114" s="9"/>
      <c r="J114" s="9"/>
      <c r="K114" s="9"/>
      <c r="L114" s="9"/>
      <c r="M114" s="9"/>
      <c r="N114" s="9"/>
      <c r="O114" s="9"/>
      <c r="P114" s="9"/>
      <c r="Q114" s="9"/>
      <c r="R114" s="9"/>
      <c r="S114" s="9"/>
    </row>
    <row r="115" spans="9:19" ht="12.75">
      <c r="I115" s="9"/>
      <c r="J115" s="9"/>
      <c r="K115" s="9"/>
      <c r="L115" s="9"/>
      <c r="M115" s="9"/>
      <c r="N115" s="9"/>
      <c r="O115" s="9"/>
      <c r="P115" s="9"/>
      <c r="Q115" s="9"/>
      <c r="R115" s="9"/>
      <c r="S115" s="9"/>
    </row>
    <row r="116" spans="9:19" ht="12.75">
      <c r="I116" s="9"/>
      <c r="J116" s="9"/>
      <c r="K116" s="9"/>
      <c r="L116" s="9"/>
      <c r="M116" s="9"/>
      <c r="N116" s="9"/>
      <c r="O116" s="9"/>
      <c r="P116" s="9"/>
      <c r="Q116" s="9"/>
      <c r="R116" s="9"/>
      <c r="S116" s="9"/>
    </row>
    <row r="117" spans="9:19" ht="12.75">
      <c r="I117" s="9"/>
      <c r="J117" s="9"/>
      <c r="K117" s="9"/>
      <c r="L117" s="9"/>
      <c r="M117" s="9"/>
      <c r="N117" s="9"/>
      <c r="O117" s="9"/>
      <c r="P117" s="9"/>
      <c r="Q117" s="9"/>
      <c r="R117" s="9"/>
      <c r="S117" s="9"/>
    </row>
    <row r="118" spans="9:19" ht="12.75">
      <c r="I118" s="9"/>
      <c r="J118" s="9"/>
      <c r="K118" s="9"/>
      <c r="L118" s="9"/>
      <c r="M118" s="9"/>
      <c r="N118" s="9"/>
      <c r="O118" s="9"/>
      <c r="P118" s="9"/>
      <c r="Q118" s="9"/>
      <c r="R118" s="9"/>
      <c r="S118" s="9"/>
    </row>
    <row r="119" spans="9:19" ht="12.75">
      <c r="I119" s="9"/>
      <c r="J119" s="9"/>
      <c r="K119" s="9"/>
      <c r="L119" s="9"/>
      <c r="M119" s="9"/>
      <c r="N119" s="9"/>
      <c r="O119" s="9"/>
      <c r="P119" s="9"/>
      <c r="Q119" s="9"/>
      <c r="R119" s="9"/>
      <c r="S119" s="9"/>
    </row>
    <row r="120" spans="9:19" ht="12.75">
      <c r="I120" s="9"/>
      <c r="J120" s="9"/>
      <c r="K120" s="9"/>
      <c r="L120" s="9"/>
      <c r="M120" s="9"/>
      <c r="N120" s="9"/>
      <c r="O120" s="9"/>
      <c r="P120" s="9"/>
      <c r="Q120" s="9"/>
      <c r="R120" s="9"/>
      <c r="S120" s="9"/>
    </row>
    <row r="121" spans="9:19" ht="12.75">
      <c r="I121" s="9"/>
      <c r="J121" s="9"/>
      <c r="K121" s="9"/>
      <c r="L121" s="9"/>
      <c r="M121" s="9"/>
      <c r="N121" s="9"/>
      <c r="O121" s="9"/>
      <c r="P121" s="9"/>
      <c r="Q121" s="9"/>
      <c r="R121" s="9"/>
      <c r="S121" s="9"/>
    </row>
    <row r="122" spans="9:19" ht="12.75">
      <c r="I122" s="9"/>
      <c r="J122" s="9"/>
      <c r="K122" s="9"/>
      <c r="L122" s="9"/>
      <c r="M122" s="9"/>
      <c r="N122" s="9"/>
      <c r="O122" s="9"/>
      <c r="P122" s="9"/>
      <c r="Q122" s="9"/>
      <c r="R122" s="9"/>
      <c r="S122" s="9"/>
    </row>
    <row r="123" spans="9:19" ht="12.75">
      <c r="I123" s="9"/>
      <c r="J123" s="9"/>
      <c r="K123" s="9"/>
      <c r="L123" s="9"/>
      <c r="M123" s="9"/>
      <c r="N123" s="9"/>
      <c r="O123" s="9"/>
      <c r="P123" s="9"/>
      <c r="Q123" s="9"/>
      <c r="R123" s="9"/>
      <c r="S123" s="9"/>
    </row>
    <row r="124" spans="9:19" ht="12.75">
      <c r="I124" s="9"/>
      <c r="J124" s="9"/>
      <c r="K124" s="9"/>
      <c r="L124" s="9"/>
      <c r="M124" s="9"/>
      <c r="N124" s="9"/>
      <c r="O124" s="9"/>
      <c r="P124" s="9"/>
      <c r="Q124" s="9"/>
      <c r="R124" s="9"/>
      <c r="S124" s="9"/>
    </row>
    <row r="125" spans="9:19" ht="12.75">
      <c r="I125" s="9"/>
      <c r="J125" s="9"/>
      <c r="K125" s="9"/>
      <c r="L125" s="9"/>
      <c r="M125" s="9"/>
      <c r="N125" s="9"/>
      <c r="O125" s="9"/>
      <c r="P125" s="9"/>
      <c r="Q125" s="9"/>
      <c r="R125" s="9"/>
      <c r="S125" s="9"/>
    </row>
    <row r="126" spans="9:19" ht="12.75">
      <c r="I126" s="9"/>
      <c r="J126" s="9"/>
      <c r="K126" s="9"/>
      <c r="L126" s="9"/>
      <c r="M126" s="9"/>
      <c r="N126" s="9"/>
      <c r="O126" s="9"/>
      <c r="P126" s="9"/>
      <c r="Q126" s="9"/>
      <c r="R126" s="9"/>
      <c r="S126" s="9"/>
    </row>
  </sheetData>
  <sheetProtection/>
  <mergeCells count="6">
    <mergeCell ref="B74:B75"/>
    <mergeCell ref="B4:B5"/>
    <mergeCell ref="B49:B50"/>
    <mergeCell ref="C4:H4"/>
    <mergeCell ref="C49:H49"/>
    <mergeCell ref="C74:H74"/>
  </mergeCells>
  <printOptions horizontalCentered="1"/>
  <pageMargins left="0.3937007874015748" right="0.4724409448818898" top="0.6299212598425197" bottom="0.6299212598425197" header="0.5118110236220472" footer="0.5118110236220472"/>
  <pageSetup fitToHeight="2" fitToWidth="2" horizontalDpi="600" verticalDpi="600" orientation="portrait" paperSize="9" scale="55" r:id="rId1"/>
  <rowBreaks count="1" manualBreakCount="1">
    <brk id="47" max="255" man="1"/>
  </rowBreaks>
</worksheet>
</file>

<file path=xl/worksheets/sheet10.xml><?xml version="1.0" encoding="utf-8"?>
<worksheet xmlns="http://schemas.openxmlformats.org/spreadsheetml/2006/main" xmlns:r="http://schemas.openxmlformats.org/officeDocument/2006/relationships">
  <dimension ref="A1:E35"/>
  <sheetViews>
    <sheetView zoomScalePageLayoutView="0" workbookViewId="0" topLeftCell="A1">
      <selection activeCell="L21" sqref="L21"/>
    </sheetView>
  </sheetViews>
  <sheetFormatPr defaultColWidth="9.140625" defaultRowHeight="12.75"/>
  <cols>
    <col min="1" max="1" width="3.00390625" style="0" customWidth="1"/>
    <col min="2" max="2" width="58.140625" style="0" customWidth="1"/>
    <col min="3" max="3" width="22.421875" style="0" customWidth="1"/>
  </cols>
  <sheetData>
    <row r="1" spans="1:4" ht="15.75">
      <c r="A1" s="461" t="s">
        <v>588</v>
      </c>
      <c r="B1" s="183"/>
      <c r="C1" s="183"/>
      <c r="D1" s="183"/>
    </row>
    <row r="2" spans="1:4" ht="13.5" thickBot="1">
      <c r="A2" s="183"/>
      <c r="B2" s="183"/>
      <c r="C2" s="183"/>
      <c r="D2" s="183"/>
    </row>
    <row r="3" spans="1:5" ht="15.75" thickBot="1">
      <c r="A3" s="183"/>
      <c r="B3" s="801" t="s">
        <v>496</v>
      </c>
      <c r="C3" s="813" t="s">
        <v>359</v>
      </c>
      <c r="D3" s="801" t="s">
        <v>360</v>
      </c>
      <c r="E3" s="13"/>
    </row>
    <row r="4" spans="1:5" ht="15">
      <c r="A4" s="183"/>
      <c r="B4" s="773" t="s">
        <v>118</v>
      </c>
      <c r="C4" s="778">
        <v>4621.007009999999</v>
      </c>
      <c r="D4" s="475">
        <v>15</v>
      </c>
      <c r="E4" s="13"/>
    </row>
    <row r="5" spans="1:5" ht="15">
      <c r="A5" s="183"/>
      <c r="B5" s="773" t="s">
        <v>119</v>
      </c>
      <c r="C5" s="778">
        <v>1124.4702057790844</v>
      </c>
      <c r="D5" s="475">
        <v>73</v>
      </c>
      <c r="E5" s="13"/>
    </row>
    <row r="6" spans="1:5" ht="15">
      <c r="A6" s="183"/>
      <c r="B6" s="773" t="s">
        <v>361</v>
      </c>
      <c r="C6" s="779">
        <v>588.8799999999999</v>
      </c>
      <c r="D6" s="475">
        <v>35</v>
      </c>
      <c r="E6" s="13"/>
    </row>
    <row r="7" spans="1:4" ht="15">
      <c r="A7" s="183"/>
      <c r="B7" s="773" t="s">
        <v>362</v>
      </c>
      <c r="C7" s="779">
        <v>9.3</v>
      </c>
      <c r="D7" s="475">
        <v>5</v>
      </c>
    </row>
    <row r="8" spans="1:4" ht="15.75" thickBot="1">
      <c r="A8" s="183"/>
      <c r="B8" s="773" t="s">
        <v>183</v>
      </c>
      <c r="C8" s="779">
        <v>6</v>
      </c>
      <c r="D8" s="475">
        <v>1</v>
      </c>
    </row>
    <row r="9" spans="1:4" ht="15.75" thickBot="1">
      <c r="A9" s="183"/>
      <c r="B9" s="780" t="s">
        <v>363</v>
      </c>
      <c r="C9" s="781">
        <v>6349.657215779084</v>
      </c>
      <c r="D9" s="781">
        <v>129</v>
      </c>
    </row>
    <row r="10" spans="1:5" s="331" customFormat="1" ht="15.75" thickBot="1">
      <c r="A10" s="183"/>
      <c r="B10" s="465"/>
      <c r="C10" s="465"/>
      <c r="D10" s="465"/>
      <c r="E10" s="3"/>
    </row>
    <row r="11" spans="1:4" ht="15.75" thickBot="1">
      <c r="A11" s="183"/>
      <c r="B11" s="782" t="s">
        <v>497</v>
      </c>
      <c r="C11" s="783">
        <v>415.89266</v>
      </c>
      <c r="D11" s="784">
        <v>3</v>
      </c>
    </row>
    <row r="12" spans="1:4" ht="13.5" thickBot="1">
      <c r="A12" s="183"/>
      <c r="B12" s="183"/>
      <c r="C12" s="183"/>
      <c r="D12" s="183"/>
    </row>
    <row r="13" spans="1:4" ht="15.75" thickBot="1">
      <c r="A13" s="183"/>
      <c r="B13" s="801" t="s">
        <v>589</v>
      </c>
      <c r="C13" s="813" t="s">
        <v>359</v>
      </c>
      <c r="D13" s="813" t="s">
        <v>360</v>
      </c>
    </row>
    <row r="14" spans="1:4" ht="15">
      <c r="A14" s="183"/>
      <c r="B14" s="773" t="s">
        <v>118</v>
      </c>
      <c r="C14" s="683">
        <v>261.255</v>
      </c>
      <c r="D14" s="785">
        <v>23</v>
      </c>
    </row>
    <row r="15" spans="1:5" ht="15">
      <c r="A15" s="183"/>
      <c r="B15" s="773" t="s">
        <v>119</v>
      </c>
      <c r="C15" s="683">
        <v>1.5</v>
      </c>
      <c r="D15" s="785">
        <v>1</v>
      </c>
      <c r="E15" s="13"/>
    </row>
    <row r="16" spans="1:4" ht="15">
      <c r="A16" s="183"/>
      <c r="B16" s="773" t="s">
        <v>362</v>
      </c>
      <c r="C16" s="786">
        <v>3.28825</v>
      </c>
      <c r="D16" s="785">
        <v>4</v>
      </c>
    </row>
    <row r="17" spans="1:4" ht="15.75" thickBot="1">
      <c r="A17" s="183"/>
      <c r="B17" s="773" t="s">
        <v>117</v>
      </c>
      <c r="C17" s="683">
        <v>12</v>
      </c>
      <c r="D17" s="785">
        <v>1</v>
      </c>
    </row>
    <row r="18" spans="1:4" ht="15.75" thickBot="1">
      <c r="A18" s="183"/>
      <c r="B18" s="780" t="s">
        <v>363</v>
      </c>
      <c r="C18" s="781">
        <v>278.04325</v>
      </c>
      <c r="D18" s="781">
        <v>29</v>
      </c>
    </row>
    <row r="19" spans="1:4" ht="12.75">
      <c r="A19" s="183"/>
      <c r="B19" s="183"/>
      <c r="C19" s="183"/>
      <c r="D19" s="183"/>
    </row>
    <row r="20" ht="12.75">
      <c r="B20" s="1"/>
    </row>
    <row r="22" spans="2:3" ht="12.75">
      <c r="B22" s="332"/>
      <c r="C22" s="333"/>
    </row>
    <row r="23" spans="2:3" ht="12.75">
      <c r="B23" s="13"/>
      <c r="C23" s="333"/>
    </row>
    <row r="24" spans="2:3" ht="12.75">
      <c r="B24" s="13"/>
      <c r="C24" s="333"/>
    </row>
    <row r="25" spans="2:3" ht="12.75">
      <c r="B25" s="13"/>
      <c r="C25" s="333"/>
    </row>
    <row r="26" spans="2:3" ht="12.75">
      <c r="B26" s="13"/>
      <c r="C26" s="333"/>
    </row>
    <row r="27" spans="2:3" ht="12.75">
      <c r="B27" s="13"/>
      <c r="C27" s="333"/>
    </row>
    <row r="28" ht="12.75">
      <c r="C28" s="333"/>
    </row>
    <row r="29" spans="2:4" ht="12.75">
      <c r="B29" s="13"/>
      <c r="C29" s="334"/>
      <c r="D29" s="13"/>
    </row>
    <row r="35" ht="12.75">
      <c r="C35" s="335"/>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S77"/>
  <sheetViews>
    <sheetView zoomScale="85" zoomScaleNormal="85" zoomScalePageLayoutView="0" workbookViewId="0" topLeftCell="A1">
      <selection activeCell="D74" sqref="D74"/>
    </sheetView>
  </sheetViews>
  <sheetFormatPr defaultColWidth="9.140625" defaultRowHeight="12.75" outlineLevelCol="1"/>
  <cols>
    <col min="1" max="1" width="6.421875" style="29" customWidth="1"/>
    <col min="2" max="2" width="49.421875" style="29" customWidth="1"/>
    <col min="3" max="3" width="14.140625" style="29" hidden="1" customWidth="1" outlineLevel="1"/>
    <col min="4" max="4" width="14.8515625" style="29" customWidth="1" collapsed="1"/>
    <col min="5" max="5" width="12.8515625" style="29" hidden="1" customWidth="1" outlineLevel="1"/>
    <col min="6" max="6" width="14.140625" style="29" customWidth="1" collapsed="1"/>
    <col min="7" max="7" width="12.8515625" style="29" customWidth="1"/>
    <col min="8" max="8" width="10.7109375" style="30" customWidth="1"/>
    <col min="9" max="12" width="11.28125" style="29" customWidth="1"/>
    <col min="13" max="15" width="9.140625" style="29" customWidth="1"/>
    <col min="16" max="19" width="9.140625" style="136" customWidth="1"/>
    <col min="20" max="16384" width="9.140625" style="29" customWidth="1"/>
  </cols>
  <sheetData>
    <row r="2" ht="15.75">
      <c r="B2" s="140" t="s">
        <v>504</v>
      </c>
    </row>
    <row r="3" spans="1:2" ht="12.75">
      <c r="A3" s="27"/>
      <c r="B3" s="28"/>
    </row>
    <row r="4" spans="1:19" ht="12.75">
      <c r="A4" s="31"/>
      <c r="B4" s="814" t="s">
        <v>212</v>
      </c>
      <c r="C4" s="821"/>
      <c r="D4" s="822"/>
      <c r="E4" s="822"/>
      <c r="F4" s="822"/>
      <c r="G4" s="822"/>
      <c r="H4" s="823"/>
      <c r="P4" s="29"/>
      <c r="Q4" s="29"/>
      <c r="R4" s="29"/>
      <c r="S4" s="29"/>
    </row>
    <row r="5" spans="1:8" s="33" customFormat="1" ht="12.75">
      <c r="A5" s="31"/>
      <c r="B5" s="815"/>
      <c r="C5" s="448">
        <v>2013</v>
      </c>
      <c r="D5" s="449" t="s">
        <v>375</v>
      </c>
      <c r="E5" s="449">
        <v>2014</v>
      </c>
      <c r="F5" s="449" t="s">
        <v>376</v>
      </c>
      <c r="G5" s="449">
        <v>2015</v>
      </c>
      <c r="H5" s="450" t="s">
        <v>377</v>
      </c>
    </row>
    <row r="6" spans="1:8" s="35" customFormat="1" ht="12.75">
      <c r="A6" s="34"/>
      <c r="B6" s="408"/>
      <c r="C6" s="93"/>
      <c r="D6" s="41"/>
      <c r="E6" s="41"/>
      <c r="F6" s="41"/>
      <c r="G6" s="41"/>
      <c r="H6" s="419"/>
    </row>
    <row r="7" spans="1:8" s="10" customFormat="1" ht="12.75">
      <c r="A7" s="21"/>
      <c r="B7" s="409" t="s">
        <v>102</v>
      </c>
      <c r="C7" s="226">
        <f>+'Quarterly Data'!J6</f>
        <v>7319</v>
      </c>
      <c r="D7" s="223">
        <f>+'Quarterly Data'!R62</f>
        <v>7162</v>
      </c>
      <c r="E7" s="223">
        <f>+'Quarterly Data'!Z62</f>
        <v>7859</v>
      </c>
      <c r="F7" s="223">
        <f>+'Quarterly Data'!AH62</f>
        <v>7859</v>
      </c>
      <c r="G7" s="223">
        <f>+'Quarterly Data'!AP62</f>
        <v>6529</v>
      </c>
      <c r="H7" s="227">
        <f>+'Quarterly Data'!AX62</f>
        <v>5682</v>
      </c>
    </row>
    <row r="8" spans="2:8" s="30" customFormat="1" ht="12.75">
      <c r="B8" s="410"/>
      <c r="C8" s="93"/>
      <c r="D8" s="41"/>
      <c r="E8" s="41"/>
      <c r="F8" s="41"/>
      <c r="G8" s="41"/>
      <c r="H8" s="94"/>
    </row>
    <row r="9" spans="2:8" s="30" customFormat="1" ht="12.75">
      <c r="B9" s="411" t="s">
        <v>373</v>
      </c>
      <c r="C9" s="336">
        <f>+'Quarterly Data'!J64</f>
        <v>706</v>
      </c>
      <c r="D9" s="221">
        <f>+'Quarterly Data'!R64</f>
        <v>666</v>
      </c>
      <c r="E9" s="221">
        <f>+'Quarterly Data'!Z64</f>
        <v>690</v>
      </c>
      <c r="F9" s="291">
        <f>+'Quarterly Data'!AH64</f>
        <v>690</v>
      </c>
      <c r="G9" s="221">
        <f>+'Quarterly Data'!AP64</f>
        <v>276</v>
      </c>
      <c r="H9" s="232">
        <f>+'Quarterly Data'!AX64</f>
        <v>242</v>
      </c>
    </row>
    <row r="10" spans="2:8" s="38" customFormat="1" ht="12.75">
      <c r="B10" s="411" t="s">
        <v>505</v>
      </c>
      <c r="C10" s="336">
        <f>+'Quarterly Data'!J65</f>
        <v>696</v>
      </c>
      <c r="D10" s="221">
        <f>+'Quarterly Data'!R65</f>
        <v>656</v>
      </c>
      <c r="E10" s="221">
        <f>+'Quarterly Data'!Z65</f>
        <v>652</v>
      </c>
      <c r="F10" s="291">
        <f>+'Quarterly Data'!AH65</f>
        <v>652</v>
      </c>
      <c r="G10" s="221">
        <f>+'Quarterly Data'!AP65</f>
        <v>360</v>
      </c>
      <c r="H10" s="232">
        <f>+'Quarterly Data'!AX65</f>
        <v>386</v>
      </c>
    </row>
    <row r="11" spans="2:8" s="30" customFormat="1" ht="12.75">
      <c r="B11" s="410"/>
      <c r="C11" s="93"/>
      <c r="D11" s="41"/>
      <c r="E11" s="41"/>
      <c r="F11" s="41"/>
      <c r="G11" s="41"/>
      <c r="H11" s="94"/>
    </row>
    <row r="12" spans="2:8" s="10" customFormat="1" ht="12.75">
      <c r="B12" s="152" t="s">
        <v>291</v>
      </c>
      <c r="C12" s="83">
        <f>+'Quarterly Data'!J67</f>
        <v>8</v>
      </c>
      <c r="D12" s="26">
        <f>+'Quarterly Data'!R67</f>
        <v>22</v>
      </c>
      <c r="E12" s="26">
        <f>+'Quarterly Data'!Z67</f>
        <v>6</v>
      </c>
      <c r="F12" s="26">
        <f>+'Quarterly Data'!AH67</f>
        <v>6</v>
      </c>
      <c r="G12" s="26">
        <f>+'Quarterly Data'!AP67</f>
        <v>-16</v>
      </c>
      <c r="H12" s="84">
        <f>+'Quarterly Data'!AX67</f>
        <v>11</v>
      </c>
    </row>
    <row r="13" spans="2:8" s="36" customFormat="1" ht="12.75">
      <c r="B13" s="189" t="s">
        <v>382</v>
      </c>
      <c r="C13" s="83">
        <f>+'Quarterly Data'!J68</f>
        <v>-260</v>
      </c>
      <c r="D13" s="26">
        <f>+'Quarterly Data'!R68</f>
        <v>-245</v>
      </c>
      <c r="E13" s="26">
        <f>+'Quarterly Data'!Z68</f>
        <v>-231</v>
      </c>
      <c r="F13" s="26">
        <f>+'Quarterly Data'!AH68</f>
        <v>-231</v>
      </c>
      <c r="G13" s="26">
        <f>+'Quarterly Data'!AP68</f>
        <v>-252</v>
      </c>
      <c r="H13" s="84">
        <f>+'Quarterly Data'!AX68</f>
        <v>-211</v>
      </c>
    </row>
    <row r="14" spans="2:8" s="36" customFormat="1" ht="12.75">
      <c r="B14" s="152" t="s">
        <v>383</v>
      </c>
      <c r="C14" s="83">
        <f>+'Quarterly Data'!J69</f>
        <v>-46</v>
      </c>
      <c r="D14" s="26">
        <f>+'Quarterly Data'!R69</f>
        <v>-46</v>
      </c>
      <c r="E14" s="26">
        <f>+'Quarterly Data'!Z69</f>
        <v>-167</v>
      </c>
      <c r="F14" s="26">
        <f>+'Quarterly Data'!AH69</f>
        <v>-167</v>
      </c>
      <c r="G14" s="26">
        <f>+'Quarterly Data'!AP69</f>
        <v>-1069</v>
      </c>
      <c r="H14" s="84">
        <f>+'Quarterly Data'!AX69</f>
        <v>-2</v>
      </c>
    </row>
    <row r="15" spans="2:8" s="36" customFormat="1" ht="12.75">
      <c r="B15" s="152"/>
      <c r="C15" s="93"/>
      <c r="D15" s="41"/>
      <c r="E15" s="41"/>
      <c r="F15" s="41"/>
      <c r="G15" s="41"/>
      <c r="H15" s="94"/>
    </row>
    <row r="16" spans="1:8" s="30" customFormat="1" ht="12.75">
      <c r="A16" s="36"/>
      <c r="B16" s="411" t="s">
        <v>367</v>
      </c>
      <c r="C16" s="420">
        <f>+'Quarterly Data'!J71</f>
        <v>398</v>
      </c>
      <c r="D16" s="221">
        <f>+'Quarterly Data'!R71</f>
        <v>387</v>
      </c>
      <c r="E16" s="221">
        <f>+'Quarterly Data'!Z71</f>
        <v>260</v>
      </c>
      <c r="F16" s="221">
        <f>+'Quarterly Data'!AH71</f>
        <v>260</v>
      </c>
      <c r="G16" s="221">
        <f>+'Quarterly Data'!AP71</f>
        <v>-977</v>
      </c>
      <c r="H16" s="232">
        <f>+'Quarterly Data'!AX71</f>
        <v>184</v>
      </c>
    </row>
    <row r="17" spans="2:8" s="30" customFormat="1" ht="12.75">
      <c r="B17" s="410"/>
      <c r="C17" s="93"/>
      <c r="D17" s="41"/>
      <c r="E17" s="41"/>
      <c r="F17" s="41"/>
      <c r="G17" s="41"/>
      <c r="H17" s="94"/>
    </row>
    <row r="18" spans="2:8" s="30" customFormat="1" ht="12.75">
      <c r="B18" s="410"/>
      <c r="C18" s="93"/>
      <c r="D18" s="41"/>
      <c r="E18" s="41"/>
      <c r="F18" s="41"/>
      <c r="G18" s="41"/>
      <c r="H18" s="94"/>
    </row>
    <row r="19" spans="1:8" s="36" customFormat="1" ht="12.75">
      <c r="A19" s="30"/>
      <c r="B19" s="412" t="s">
        <v>98</v>
      </c>
      <c r="C19" s="421">
        <v>8567</v>
      </c>
      <c r="D19" s="185">
        <v>8191</v>
      </c>
      <c r="E19" s="185">
        <v>8067</v>
      </c>
      <c r="F19" s="185">
        <v>8067</v>
      </c>
      <c r="G19" s="185">
        <v>5672</v>
      </c>
      <c r="H19" s="184">
        <v>6213</v>
      </c>
    </row>
    <row r="20" spans="2:8" s="38" customFormat="1" ht="12.75">
      <c r="B20" s="412"/>
      <c r="C20" s="91"/>
      <c r="D20" s="40"/>
      <c r="E20" s="40"/>
      <c r="F20" s="40"/>
      <c r="G20" s="40"/>
      <c r="H20" s="92"/>
    </row>
    <row r="21" spans="2:8" s="37" customFormat="1" ht="12.75">
      <c r="B21" s="410" t="s">
        <v>99</v>
      </c>
      <c r="C21" s="422">
        <v>33</v>
      </c>
      <c r="D21" s="75">
        <v>25</v>
      </c>
      <c r="E21" s="75">
        <v>43</v>
      </c>
      <c r="F21" s="75">
        <v>43</v>
      </c>
      <c r="G21" s="75">
        <v>42</v>
      </c>
      <c r="H21" s="85">
        <v>98</v>
      </c>
    </row>
    <row r="22" spans="2:8" s="37" customFormat="1" ht="12.75">
      <c r="B22" s="413" t="s">
        <v>100</v>
      </c>
      <c r="C22" s="422">
        <v>6</v>
      </c>
      <c r="D22" s="75">
        <v>6</v>
      </c>
      <c r="E22" s="75">
        <v>3</v>
      </c>
      <c r="F22" s="75">
        <v>3</v>
      </c>
      <c r="G22" s="75">
        <v>1</v>
      </c>
      <c r="H22" s="85">
        <v>9</v>
      </c>
    </row>
    <row r="23" spans="2:8" s="38" customFormat="1" ht="12.75">
      <c r="B23" s="412" t="s">
        <v>101</v>
      </c>
      <c r="C23" s="91">
        <f aca="true" t="shared" si="0" ref="C23:H23">+C21+C22</f>
        <v>39</v>
      </c>
      <c r="D23" s="40">
        <f t="shared" si="0"/>
        <v>31</v>
      </c>
      <c r="E23" s="40">
        <f t="shared" si="0"/>
        <v>46</v>
      </c>
      <c r="F23" s="40">
        <f t="shared" si="0"/>
        <v>46</v>
      </c>
      <c r="G23" s="40">
        <f t="shared" si="0"/>
        <v>43</v>
      </c>
      <c r="H23" s="92">
        <f t="shared" si="0"/>
        <v>107</v>
      </c>
    </row>
    <row r="24" spans="2:8" s="38" customFormat="1" ht="12.75">
      <c r="B24" s="412"/>
      <c r="C24" s="91"/>
      <c r="D24" s="40"/>
      <c r="E24" s="40"/>
      <c r="F24" s="40"/>
      <c r="G24" s="40"/>
      <c r="H24" s="92"/>
    </row>
    <row r="25" spans="2:8" s="32" customFormat="1" ht="15" customHeight="1">
      <c r="B25" s="414" t="s">
        <v>81</v>
      </c>
      <c r="C25" s="423">
        <v>1189</v>
      </c>
      <c r="D25" s="236">
        <v>1138</v>
      </c>
      <c r="E25" s="236">
        <v>1051</v>
      </c>
      <c r="F25" s="236">
        <v>1051</v>
      </c>
      <c r="G25" s="236">
        <v>1030</v>
      </c>
      <c r="H25" s="237">
        <v>2949</v>
      </c>
    </row>
    <row r="26" spans="3:19" ht="12.75">
      <c r="C26" s="136"/>
      <c r="D26" s="136"/>
      <c r="E26" s="136"/>
      <c r="F26" s="136"/>
      <c r="G26" s="136"/>
      <c r="H26" s="29"/>
      <c r="P26" s="29"/>
      <c r="Q26" s="29"/>
      <c r="R26" s="29"/>
      <c r="S26" s="29"/>
    </row>
    <row r="27" spans="2:19" ht="12.75">
      <c r="B27" s="42"/>
      <c r="C27" s="136"/>
      <c r="D27" s="136"/>
      <c r="E27" s="136"/>
      <c r="F27" s="136"/>
      <c r="G27" s="136"/>
      <c r="H27" s="29"/>
      <c r="P27" s="29"/>
      <c r="Q27" s="29"/>
      <c r="R27" s="29"/>
      <c r="S27" s="29"/>
    </row>
    <row r="28" spans="2:19" ht="12.75">
      <c r="B28" s="814" t="s">
        <v>213</v>
      </c>
      <c r="C28" s="821"/>
      <c r="D28" s="822"/>
      <c r="E28" s="822"/>
      <c r="F28" s="822"/>
      <c r="G28" s="822"/>
      <c r="H28" s="823"/>
      <c r="P28" s="29"/>
      <c r="Q28" s="29"/>
      <c r="R28" s="29"/>
      <c r="S28" s="29"/>
    </row>
    <row r="29" spans="2:19" ht="12.75">
      <c r="B29" s="815"/>
      <c r="C29" s="448">
        <f aca="true" t="shared" si="1" ref="C29:H29">+C5</f>
        <v>2013</v>
      </c>
      <c r="D29" s="449" t="str">
        <f t="shared" si="1"/>
        <v>2013 Restated</v>
      </c>
      <c r="E29" s="449">
        <f t="shared" si="1"/>
        <v>2014</v>
      </c>
      <c r="F29" s="449" t="str">
        <f t="shared" si="1"/>
        <v>2014 Restated</v>
      </c>
      <c r="G29" s="449">
        <f t="shared" si="1"/>
        <v>2015</v>
      </c>
      <c r="H29" s="450" t="str">
        <f t="shared" si="1"/>
        <v>2016 (1)</v>
      </c>
      <c r="P29" s="29"/>
      <c r="Q29" s="29"/>
      <c r="R29" s="29"/>
      <c r="S29" s="29"/>
    </row>
    <row r="30" spans="2:19" ht="12.75">
      <c r="B30" s="415"/>
      <c r="C30" s="89"/>
      <c r="D30" s="90"/>
      <c r="E30" s="90"/>
      <c r="F30" s="90"/>
      <c r="G30" s="90"/>
      <c r="H30" s="424"/>
      <c r="P30" s="29"/>
      <c r="Q30" s="29"/>
      <c r="R30" s="29"/>
      <c r="S30" s="29"/>
    </row>
    <row r="31" spans="2:8" s="9" customFormat="1" ht="12.75">
      <c r="B31" s="409" t="s">
        <v>102</v>
      </c>
      <c r="C31" s="226">
        <f>+'Quarterly Data'!J80</f>
        <v>5872</v>
      </c>
      <c r="D31" s="223">
        <f>+'Quarterly Data'!R80</f>
        <v>5998</v>
      </c>
      <c r="E31" s="223">
        <f>+'Quarterly Data'!Z80</f>
        <v>5168</v>
      </c>
      <c r="F31" s="223">
        <f>+'Quarterly Data'!AH80</f>
        <v>5168</v>
      </c>
      <c r="G31" s="223">
        <f>+'Quarterly Data'!AP80</f>
        <v>5512</v>
      </c>
      <c r="H31" s="227">
        <f>+'Quarterly Data'!AX80</f>
        <v>6031</v>
      </c>
    </row>
    <row r="32" spans="2:19" ht="12.75">
      <c r="B32" s="410"/>
      <c r="C32" s="93"/>
      <c r="D32" s="41"/>
      <c r="E32" s="41"/>
      <c r="F32" s="41"/>
      <c r="G32" s="41"/>
      <c r="H32" s="94"/>
      <c r="P32" s="29"/>
      <c r="Q32" s="29"/>
      <c r="R32" s="29"/>
      <c r="S32" s="29"/>
    </row>
    <row r="33" spans="2:19" ht="12.75">
      <c r="B33" s="411" t="s">
        <v>373</v>
      </c>
      <c r="C33" s="336">
        <f>+'Quarterly Data'!J82</f>
        <v>414</v>
      </c>
      <c r="D33" s="291">
        <f>+'Quarterly Data'!R82</f>
        <v>415</v>
      </c>
      <c r="E33" s="291">
        <f>+'Quarterly Data'!Z82</f>
        <v>255</v>
      </c>
      <c r="F33" s="291">
        <f>+'Quarterly Data'!AH82</f>
        <v>255</v>
      </c>
      <c r="G33" s="291">
        <f>+'Quarterly Data'!AP82</f>
        <v>1079</v>
      </c>
      <c r="H33" s="282">
        <f>+'Quarterly Data'!AX82</f>
        <v>505</v>
      </c>
      <c r="P33" s="29"/>
      <c r="Q33" s="29"/>
      <c r="R33" s="29"/>
      <c r="S33" s="29"/>
    </row>
    <row r="34" spans="2:19" ht="12.75">
      <c r="B34" s="416" t="s">
        <v>520</v>
      </c>
      <c r="C34" s="93"/>
      <c r="D34" s="41"/>
      <c r="E34" s="41"/>
      <c r="F34" s="41"/>
      <c r="G34" s="41"/>
      <c r="H34" s="94"/>
      <c r="P34" s="29"/>
      <c r="Q34" s="29"/>
      <c r="R34" s="29"/>
      <c r="S34" s="29"/>
    </row>
    <row r="35" spans="2:19" ht="12.75">
      <c r="B35" s="178" t="s">
        <v>506</v>
      </c>
      <c r="C35" s="93">
        <f>+'Quarterly Data'!J84</f>
        <v>444</v>
      </c>
      <c r="D35" s="41">
        <f>+'Quarterly Data'!R84</f>
        <v>444</v>
      </c>
      <c r="E35" s="41">
        <f>+'Quarterly Data'!Z84</f>
        <v>427</v>
      </c>
      <c r="F35" s="41">
        <f>+'Quarterly Data'!AH84</f>
        <v>427</v>
      </c>
      <c r="G35" s="41">
        <f>+'Quarterly Data'!AP84</f>
        <v>243</v>
      </c>
      <c r="H35" s="94">
        <f>+'Quarterly Data'!AX84</f>
        <v>182</v>
      </c>
      <c r="P35" s="29"/>
      <c r="Q35" s="29"/>
      <c r="R35" s="29"/>
      <c r="S35" s="29"/>
    </row>
    <row r="36" spans="2:19" ht="12.75">
      <c r="B36" s="178" t="s">
        <v>366</v>
      </c>
      <c r="C36" s="93">
        <f>+'Quarterly Data'!J85</f>
        <v>-30</v>
      </c>
      <c r="D36" s="41">
        <f>+'Quarterly Data'!R85</f>
        <v>-29</v>
      </c>
      <c r="E36" s="41">
        <f>+'Quarterly Data'!Z85</f>
        <v>-172</v>
      </c>
      <c r="F36" s="41">
        <f>+'Quarterly Data'!AH85</f>
        <v>-172</v>
      </c>
      <c r="G36" s="41">
        <f>+'Quarterly Data'!AP85</f>
        <v>836</v>
      </c>
      <c r="H36" s="94">
        <f>+'Quarterly Data'!AX85</f>
        <v>323</v>
      </c>
      <c r="P36" s="29"/>
      <c r="Q36" s="29"/>
      <c r="R36" s="29"/>
      <c r="S36" s="29"/>
    </row>
    <row r="37" spans="2:19" ht="12.75">
      <c r="B37" s="411" t="s">
        <v>505</v>
      </c>
      <c r="C37" s="420">
        <f>+'Quarterly Data'!J86</f>
        <v>424</v>
      </c>
      <c r="D37" s="221">
        <f>+'Quarterly Data'!R86</f>
        <v>425</v>
      </c>
      <c r="E37" s="221">
        <f>+'Quarterly Data'!Z86</f>
        <v>293</v>
      </c>
      <c r="F37" s="221">
        <f>+'Quarterly Data'!AH86</f>
        <v>293</v>
      </c>
      <c r="G37" s="221">
        <f>+'Quarterly Data'!AP86</f>
        <v>995</v>
      </c>
      <c r="H37" s="232">
        <f>+'Quarterly Data'!AX86</f>
        <v>361</v>
      </c>
      <c r="P37" s="29"/>
      <c r="Q37" s="29"/>
      <c r="R37" s="29"/>
      <c r="S37" s="29"/>
    </row>
    <row r="38" spans="2:19" ht="12.75">
      <c r="B38" s="410"/>
      <c r="C38" s="93"/>
      <c r="D38" s="41"/>
      <c r="E38" s="41"/>
      <c r="F38" s="41"/>
      <c r="G38" s="41"/>
      <c r="H38" s="94"/>
      <c r="P38" s="29"/>
      <c r="Q38" s="29"/>
      <c r="R38" s="29"/>
      <c r="S38" s="29"/>
    </row>
    <row r="39" spans="2:19" ht="12.75">
      <c r="B39" s="410"/>
      <c r="C39" s="93"/>
      <c r="D39" s="41"/>
      <c r="E39" s="41"/>
      <c r="F39" s="41"/>
      <c r="G39" s="41"/>
      <c r="H39" s="94"/>
      <c r="P39" s="29"/>
      <c r="Q39" s="29"/>
      <c r="R39" s="29"/>
      <c r="S39" s="29"/>
    </row>
    <row r="40" spans="2:19" ht="12.75">
      <c r="B40" s="152" t="s">
        <v>291</v>
      </c>
      <c r="C40" s="93">
        <f>+'Quarterly Data'!J88</f>
        <v>-17</v>
      </c>
      <c r="D40" s="223">
        <f>+'Quarterly Data'!R88</f>
        <v>-31</v>
      </c>
      <c r="E40" s="223">
        <f>+'Quarterly Data'!Z88</f>
        <v>244</v>
      </c>
      <c r="F40" s="41">
        <f>+'Quarterly Data'!AH88</f>
        <v>244</v>
      </c>
      <c r="G40" s="223">
        <f>+'Quarterly Data'!AP88</f>
        <v>177</v>
      </c>
      <c r="H40" s="227">
        <f>+'Quarterly Data'!AX88</f>
        <v>-177</v>
      </c>
      <c r="P40" s="29"/>
      <c r="Q40" s="29"/>
      <c r="R40" s="29"/>
      <c r="S40" s="29"/>
    </row>
    <row r="41" spans="2:8" s="9" customFormat="1" ht="12.75">
      <c r="B41" s="189" t="s">
        <v>382</v>
      </c>
      <c r="C41" s="93">
        <f>+'Quarterly Data'!J89</f>
        <v>-287</v>
      </c>
      <c r="D41" s="223">
        <f>+'Quarterly Data'!R89</f>
        <v>-282</v>
      </c>
      <c r="E41" s="223">
        <f>+'Quarterly Data'!Z89</f>
        <v>-281</v>
      </c>
      <c r="F41" s="41">
        <f>+'Quarterly Data'!AH89</f>
        <v>-281</v>
      </c>
      <c r="G41" s="223">
        <f>+'Quarterly Data'!AP89</f>
        <v>-401</v>
      </c>
      <c r="H41" s="227">
        <f>+'Quarterly Data'!AX89</f>
        <v>-259</v>
      </c>
    </row>
    <row r="42" spans="2:8" s="9" customFormat="1" ht="12.75">
      <c r="B42" s="152" t="s">
        <v>383</v>
      </c>
      <c r="C42" s="93">
        <f>+'Quarterly Data'!J90</f>
        <v>-54</v>
      </c>
      <c r="D42" s="223">
        <f>+'Quarterly Data'!R90</f>
        <v>-54</v>
      </c>
      <c r="E42" s="223">
        <f>+'Quarterly Data'!Z90</f>
        <v>-72</v>
      </c>
      <c r="F42" s="41">
        <f>+'Quarterly Data'!AH90</f>
        <v>-72</v>
      </c>
      <c r="G42" s="223">
        <f>+'Quarterly Data'!AP90</f>
        <v>-465</v>
      </c>
      <c r="H42" s="227">
        <f>+'Quarterly Data'!AX90</f>
        <v>-254</v>
      </c>
    </row>
    <row r="43" spans="2:19" ht="12.75">
      <c r="B43" s="417"/>
      <c r="C43" s="93"/>
      <c r="D43" s="41"/>
      <c r="E43" s="41"/>
      <c r="F43" s="41"/>
      <c r="G43" s="41"/>
      <c r="H43" s="94"/>
      <c r="P43" s="29"/>
      <c r="Q43" s="29"/>
      <c r="R43" s="29"/>
      <c r="S43" s="29"/>
    </row>
    <row r="44" spans="2:19" ht="12.75">
      <c r="B44" s="411" t="s">
        <v>367</v>
      </c>
      <c r="C44" s="420">
        <f>+'Quarterly Data'!J92</f>
        <v>66</v>
      </c>
      <c r="D44" s="221">
        <f>+'Quarterly Data'!R92</f>
        <v>58</v>
      </c>
      <c r="E44" s="221">
        <f>+'Quarterly Data'!Z92</f>
        <v>184</v>
      </c>
      <c r="F44" s="221">
        <f>+'Quarterly Data'!AH92</f>
        <v>184</v>
      </c>
      <c r="G44" s="221">
        <f>+'Quarterly Data'!AP92</f>
        <v>306</v>
      </c>
      <c r="H44" s="232">
        <f>+'Quarterly Data'!AX92</f>
        <v>-329</v>
      </c>
      <c r="P44" s="29"/>
      <c r="Q44" s="29"/>
      <c r="R44" s="29"/>
      <c r="S44" s="29"/>
    </row>
    <row r="45" spans="2:19" ht="12.75">
      <c r="B45" s="410"/>
      <c r="C45" s="93"/>
      <c r="D45" s="41"/>
      <c r="E45" s="41"/>
      <c r="F45" s="41"/>
      <c r="G45" s="41"/>
      <c r="H45" s="94"/>
      <c r="P45" s="29"/>
      <c r="Q45" s="29"/>
      <c r="R45" s="29"/>
      <c r="S45" s="29"/>
    </row>
    <row r="46" spans="2:19" ht="12.75">
      <c r="B46" s="410"/>
      <c r="C46" s="93"/>
      <c r="D46" s="41"/>
      <c r="E46" s="41"/>
      <c r="F46" s="41"/>
      <c r="G46" s="41"/>
      <c r="H46" s="94"/>
      <c r="P46" s="29"/>
      <c r="Q46" s="29"/>
      <c r="R46" s="29"/>
      <c r="S46" s="29"/>
    </row>
    <row r="47" spans="2:19" ht="12.75">
      <c r="B47" s="412" t="s">
        <v>98</v>
      </c>
      <c r="C47" s="421">
        <v>5791</v>
      </c>
      <c r="D47" s="185">
        <v>5782</v>
      </c>
      <c r="E47" s="185">
        <v>6347</v>
      </c>
      <c r="F47" s="185">
        <v>6347</v>
      </c>
      <c r="G47" s="185">
        <v>6861</v>
      </c>
      <c r="H47" s="184">
        <v>5213</v>
      </c>
      <c r="P47" s="29"/>
      <c r="Q47" s="29"/>
      <c r="R47" s="29"/>
      <c r="S47" s="29"/>
    </row>
    <row r="48" spans="2:19" ht="12.75">
      <c r="B48" s="412"/>
      <c r="C48" s="91"/>
      <c r="D48" s="40"/>
      <c r="E48" s="40"/>
      <c r="F48" s="40"/>
      <c r="G48" s="40"/>
      <c r="H48" s="92"/>
      <c r="P48" s="29"/>
      <c r="Q48" s="29"/>
      <c r="R48" s="29"/>
      <c r="S48" s="29"/>
    </row>
    <row r="49" spans="2:19" ht="12.75">
      <c r="B49" s="410" t="s">
        <v>99</v>
      </c>
      <c r="C49" s="422">
        <v>124</v>
      </c>
      <c r="D49" s="75">
        <v>124</v>
      </c>
      <c r="E49" s="75">
        <v>254</v>
      </c>
      <c r="F49" s="75">
        <v>254</v>
      </c>
      <c r="G49" s="75">
        <v>287</v>
      </c>
      <c r="H49" s="85">
        <v>204</v>
      </c>
      <c r="P49" s="29"/>
      <c r="Q49" s="29"/>
      <c r="R49" s="29"/>
      <c r="S49" s="29"/>
    </row>
    <row r="50" spans="2:19" ht="12.75">
      <c r="B50" s="418" t="s">
        <v>507</v>
      </c>
      <c r="C50" s="422">
        <v>92</v>
      </c>
      <c r="D50" s="75">
        <v>92</v>
      </c>
      <c r="E50" s="75">
        <v>67</v>
      </c>
      <c r="F50" s="75">
        <v>67</v>
      </c>
      <c r="G50" s="75">
        <v>139</v>
      </c>
      <c r="H50" s="85">
        <v>68</v>
      </c>
      <c r="P50" s="29"/>
      <c r="Q50" s="29"/>
      <c r="R50" s="29"/>
      <c r="S50" s="29"/>
    </row>
    <row r="51" spans="2:19" ht="12.75">
      <c r="B51" s="413" t="s">
        <v>100</v>
      </c>
      <c r="C51" s="422">
        <v>11</v>
      </c>
      <c r="D51" s="75">
        <v>11</v>
      </c>
      <c r="E51" s="75">
        <v>16</v>
      </c>
      <c r="F51" s="75">
        <v>16</v>
      </c>
      <c r="G51" s="75">
        <v>53</v>
      </c>
      <c r="H51" s="85">
        <v>20</v>
      </c>
      <c r="P51" s="29"/>
      <c r="Q51" s="29"/>
      <c r="R51" s="29"/>
      <c r="S51" s="29"/>
    </row>
    <row r="52" spans="2:19" ht="12.75">
      <c r="B52" s="412" t="s">
        <v>101</v>
      </c>
      <c r="C52" s="91">
        <f aca="true" t="shared" si="2" ref="C52:H52">+C49+C50+C51</f>
        <v>227</v>
      </c>
      <c r="D52" s="40">
        <f t="shared" si="2"/>
        <v>227</v>
      </c>
      <c r="E52" s="40">
        <f t="shared" si="2"/>
        <v>337</v>
      </c>
      <c r="F52" s="40">
        <f t="shared" si="2"/>
        <v>337</v>
      </c>
      <c r="G52" s="40">
        <f t="shared" si="2"/>
        <v>479</v>
      </c>
      <c r="H52" s="92">
        <f t="shared" si="2"/>
        <v>292</v>
      </c>
      <c r="P52" s="29"/>
      <c r="Q52" s="29"/>
      <c r="R52" s="29"/>
      <c r="S52" s="29"/>
    </row>
    <row r="53" spans="2:19" ht="12.75">
      <c r="B53" s="412"/>
      <c r="C53" s="91"/>
      <c r="D53" s="40"/>
      <c r="E53" s="40"/>
      <c r="F53" s="40"/>
      <c r="G53" s="40"/>
      <c r="H53" s="92"/>
      <c r="P53" s="29"/>
      <c r="Q53" s="29"/>
      <c r="R53" s="29"/>
      <c r="S53" s="29"/>
    </row>
    <row r="54" spans="2:19" ht="12.75">
      <c r="B54" s="414" t="s">
        <v>81</v>
      </c>
      <c r="C54" s="423">
        <v>1421</v>
      </c>
      <c r="D54" s="236">
        <v>1415</v>
      </c>
      <c r="E54" s="236">
        <v>1419</v>
      </c>
      <c r="F54" s="236">
        <v>1419</v>
      </c>
      <c r="G54" s="236">
        <v>1414</v>
      </c>
      <c r="H54" s="237">
        <v>1379</v>
      </c>
      <c r="P54" s="29"/>
      <c r="Q54" s="29"/>
      <c r="R54" s="29"/>
      <c r="S54" s="29"/>
    </row>
    <row r="56" spans="2:11" ht="12.75">
      <c r="B56" s="318" t="s">
        <v>372</v>
      </c>
      <c r="C56" s="318"/>
      <c r="D56" s="318"/>
      <c r="E56" s="318"/>
      <c r="F56" s="318"/>
      <c r="G56" s="318"/>
      <c r="H56" s="318"/>
      <c r="I56" s="318"/>
      <c r="J56" s="318"/>
      <c r="K56" s="318"/>
    </row>
    <row r="57" spans="2:11" ht="12.75">
      <c r="B57" s="317" t="s">
        <v>374</v>
      </c>
      <c r="C57" s="317"/>
      <c r="D57" s="317"/>
      <c r="E57" s="317"/>
      <c r="F57" s="317"/>
      <c r="G57" s="317"/>
      <c r="H57" s="317"/>
      <c r="I57" s="317"/>
      <c r="J57" s="317"/>
      <c r="K57" s="317"/>
    </row>
    <row r="77" ht="12.75">
      <c r="B77" s="38"/>
    </row>
  </sheetData>
  <sheetProtection/>
  <mergeCells count="4">
    <mergeCell ref="B4:B5"/>
    <mergeCell ref="B28:B29"/>
    <mergeCell ref="C4:H4"/>
    <mergeCell ref="C28:H28"/>
  </mergeCells>
  <printOptions horizontalCentered="1" verticalCentered="1"/>
  <pageMargins left="0.3937007874015748" right="0.4724409448818898" top="0.6299212598425197" bottom="4.7637795275590555" header="0.5118110236220472" footer="0.5118110236220472"/>
  <pageSetup horizontalDpi="600" verticalDpi="600" orientation="portrait" paperSize="9" scale="50" r:id="rId1"/>
</worksheet>
</file>

<file path=xl/worksheets/sheet3.xml><?xml version="1.0" encoding="utf-8"?>
<worksheet xmlns="http://schemas.openxmlformats.org/spreadsheetml/2006/main" xmlns:r="http://schemas.openxmlformats.org/officeDocument/2006/relationships">
  <dimension ref="A2:S67"/>
  <sheetViews>
    <sheetView zoomScale="85" zoomScaleNormal="85" zoomScalePageLayoutView="0" workbookViewId="0" topLeftCell="A2">
      <selection activeCell="B49" sqref="B49"/>
    </sheetView>
  </sheetViews>
  <sheetFormatPr defaultColWidth="9.140625" defaultRowHeight="12.75" outlineLevelRow="1" outlineLevelCol="1"/>
  <cols>
    <col min="1" max="1" width="6.421875" style="1" customWidth="1"/>
    <col min="2" max="2" width="49.421875" style="13" customWidth="1"/>
    <col min="3" max="3" width="14.8515625" style="13" hidden="1" customWidth="1" outlineLevel="1"/>
    <col min="4" max="4" width="14.8515625" style="13" customWidth="1" collapsed="1"/>
    <col min="5" max="5" width="12.8515625" style="13" hidden="1" customWidth="1" outlineLevel="1"/>
    <col min="6" max="6" width="14.421875" style="13" customWidth="1" collapsed="1"/>
    <col min="7" max="7" width="12.8515625" style="13" customWidth="1"/>
    <col min="8" max="8" width="11.140625" style="3" customWidth="1"/>
    <col min="9" max="11" width="11.28125" style="13" customWidth="1"/>
    <col min="12" max="12" width="11.421875" style="13" customWidth="1"/>
    <col min="13" max="15" width="11.28125" style="13" customWidth="1"/>
    <col min="16" max="19" width="11.28125" style="19" customWidth="1"/>
    <col min="20" max="16384" width="9.140625" style="13" customWidth="1"/>
  </cols>
  <sheetData>
    <row r="2" ht="15.75">
      <c r="B2" s="16" t="s">
        <v>214</v>
      </c>
    </row>
    <row r="3" spans="8:19" s="9" customFormat="1" ht="12.75">
      <c r="H3" s="10"/>
      <c r="P3" s="81"/>
      <c r="Q3" s="81"/>
      <c r="R3" s="81"/>
      <c r="S3" s="81"/>
    </row>
    <row r="4" spans="1:8" s="9" customFormat="1" ht="12.75">
      <c r="A4" s="5"/>
      <c r="B4" s="814" t="s">
        <v>215</v>
      </c>
      <c r="C4" s="821"/>
      <c r="D4" s="822"/>
      <c r="E4" s="822"/>
      <c r="F4" s="822"/>
      <c r="G4" s="822"/>
      <c r="H4" s="823"/>
    </row>
    <row r="5" spans="1:8" s="9" customFormat="1" ht="12.75">
      <c r="A5" s="5"/>
      <c r="B5" s="815"/>
      <c r="C5" s="448">
        <v>2013</v>
      </c>
      <c r="D5" s="449" t="s">
        <v>375</v>
      </c>
      <c r="E5" s="449">
        <v>2014</v>
      </c>
      <c r="F5" s="449" t="s">
        <v>376</v>
      </c>
      <c r="G5" s="449">
        <v>2015</v>
      </c>
      <c r="H5" s="450">
        <v>2016</v>
      </c>
    </row>
    <row r="6" spans="1:8" s="10" customFormat="1" ht="12.75">
      <c r="A6" s="7"/>
      <c r="B6" s="383"/>
      <c r="C6" s="374"/>
      <c r="D6" s="116"/>
      <c r="E6" s="201"/>
      <c r="F6" s="201"/>
      <c r="G6" s="201"/>
      <c r="H6" s="326"/>
    </row>
    <row r="7" spans="2:8" s="43" customFormat="1" ht="12.75">
      <c r="B7" s="384" t="s">
        <v>106</v>
      </c>
      <c r="C7" s="375"/>
      <c r="D7" s="39"/>
      <c r="E7" s="39"/>
      <c r="F7" s="39"/>
      <c r="G7" s="39"/>
      <c r="H7" s="121"/>
    </row>
    <row r="8" spans="1:8" s="44" customFormat="1" ht="12.75">
      <c r="A8" s="14"/>
      <c r="B8" s="385"/>
      <c r="C8" s="376"/>
      <c r="D8" s="117"/>
      <c r="E8" s="117"/>
      <c r="F8" s="117"/>
      <c r="G8" s="117"/>
      <c r="H8" s="122"/>
    </row>
    <row r="9" spans="2:19" ht="12.75">
      <c r="B9" s="372" t="s">
        <v>398</v>
      </c>
      <c r="C9" s="377">
        <f>+'Quarterly Data'!J102</f>
        <v>13503</v>
      </c>
      <c r="D9" s="238">
        <f>+'Quarterly Data'!R102</f>
        <v>13503</v>
      </c>
      <c r="E9" s="238">
        <f>+'Quarterly Data'!Z102</f>
        <v>11756</v>
      </c>
      <c r="F9" s="238">
        <f>+'Quarterly Data'!AH102</f>
        <v>11756</v>
      </c>
      <c r="G9" s="238">
        <f>+'Quarterly Data'!AP102</f>
        <v>14116</v>
      </c>
      <c r="H9" s="239">
        <f>+'Quarterly Data'!AX102</f>
        <v>16765</v>
      </c>
      <c r="P9" s="13"/>
      <c r="Q9" s="13"/>
      <c r="R9" s="13"/>
      <c r="S9" s="13"/>
    </row>
    <row r="10" spans="2:19" ht="12.75">
      <c r="B10" s="372" t="s">
        <v>399</v>
      </c>
      <c r="C10" s="377">
        <f>+'Quarterly Data'!J103</f>
        <v>4338</v>
      </c>
      <c r="D10" s="238">
        <f>+'Quarterly Data'!R103</f>
        <v>4029</v>
      </c>
      <c r="E10" s="238">
        <f>+'Quarterly Data'!Z103</f>
        <v>4954</v>
      </c>
      <c r="F10" s="238">
        <f>+'Quarterly Data'!AH103</f>
        <v>4954</v>
      </c>
      <c r="G10" s="238">
        <f>+'Quarterly Data'!AP103</f>
        <v>3378</v>
      </c>
      <c r="H10" s="239">
        <f>+'Quarterly Data'!AX103</f>
        <v>2490</v>
      </c>
      <c r="P10" s="13"/>
      <c r="Q10" s="13"/>
      <c r="R10" s="13"/>
      <c r="S10" s="13"/>
    </row>
    <row r="11" spans="2:19" ht="12.75">
      <c r="B11" s="372" t="s">
        <v>400</v>
      </c>
      <c r="C11" s="377">
        <f>+'Quarterly Data'!J104</f>
        <v>876</v>
      </c>
      <c r="D11" s="238">
        <f>+'Quarterly Data'!R104</f>
        <v>876</v>
      </c>
      <c r="E11" s="238">
        <f>+'Quarterly Data'!Z104</f>
        <v>906</v>
      </c>
      <c r="F11" s="238">
        <f>+'Quarterly Data'!AH104</f>
        <v>906</v>
      </c>
      <c r="G11" s="238">
        <f>+'Quarterly Data'!AP104</f>
        <v>987</v>
      </c>
      <c r="H11" s="239">
        <f>+'Quarterly Data'!AX104</f>
        <v>1103</v>
      </c>
      <c r="I11" s="17"/>
      <c r="J11" s="17"/>
      <c r="K11" s="17"/>
      <c r="L11" s="17"/>
      <c r="M11" s="17"/>
      <c r="P11" s="13"/>
      <c r="Q11" s="13"/>
      <c r="R11" s="13"/>
      <c r="S11" s="13"/>
    </row>
    <row r="12" spans="1:13" s="17" customFormat="1" ht="12.75">
      <c r="A12" s="2"/>
      <c r="B12" s="348" t="s">
        <v>108</v>
      </c>
      <c r="C12" s="378">
        <f aca="true" t="shared" si="0" ref="C12:H12">+SUM(C9:C11)</f>
        <v>18717</v>
      </c>
      <c r="D12" s="288">
        <f t="shared" si="0"/>
        <v>18408</v>
      </c>
      <c r="E12" s="288">
        <f t="shared" si="0"/>
        <v>17616</v>
      </c>
      <c r="F12" s="288">
        <f t="shared" si="0"/>
        <v>17616</v>
      </c>
      <c r="G12" s="288">
        <f t="shared" si="0"/>
        <v>18481</v>
      </c>
      <c r="H12" s="289">
        <f t="shared" si="0"/>
        <v>20358</v>
      </c>
      <c r="I12" s="13"/>
      <c r="J12" s="13"/>
      <c r="K12" s="13"/>
      <c r="L12" s="13"/>
      <c r="M12" s="13"/>
    </row>
    <row r="13" spans="2:19" ht="14.25">
      <c r="B13" s="189" t="s">
        <v>402</v>
      </c>
      <c r="C13" s="377">
        <f>+'Quarterly Data'!J105</f>
        <v>37625</v>
      </c>
      <c r="D13" s="238">
        <f>+'Quarterly Data'!R105</f>
        <v>55407</v>
      </c>
      <c r="E13" s="238">
        <f>+'Quarterly Data'!Z105</f>
        <v>78564</v>
      </c>
      <c r="F13" s="238">
        <f>+'Quarterly Data'!AH105</f>
        <v>77915</v>
      </c>
      <c r="G13" s="238">
        <f>+'Quarterly Data'!AP105</f>
        <v>70952</v>
      </c>
      <c r="H13" s="239">
        <f>+'Quarterly Data'!AX105</f>
        <v>70836</v>
      </c>
      <c r="P13" s="13"/>
      <c r="Q13" s="13"/>
      <c r="R13" s="13"/>
      <c r="S13" s="13"/>
    </row>
    <row r="14" spans="2:19" ht="12.75">
      <c r="B14" s="386" t="s">
        <v>590</v>
      </c>
      <c r="C14" s="379">
        <f>+C12+C13</f>
        <v>56342</v>
      </c>
      <c r="D14" s="95">
        <f>+SUM(D12:D13)</f>
        <v>73815</v>
      </c>
      <c r="E14" s="95">
        <f>+SUM(E12:E13)</f>
        <v>96180</v>
      </c>
      <c r="F14" s="95">
        <f>+SUM(F12:F13)</f>
        <v>95531</v>
      </c>
      <c r="G14" s="95">
        <f>+SUM(G12:G13)</f>
        <v>89433</v>
      </c>
      <c r="H14" s="96">
        <f>+SUM(H12:H13)</f>
        <v>91194</v>
      </c>
      <c r="I14" s="3"/>
      <c r="J14" s="3"/>
      <c r="K14" s="22"/>
      <c r="L14" s="22"/>
      <c r="M14" s="22"/>
      <c r="N14" s="15"/>
      <c r="O14" s="15"/>
      <c r="P14" s="15"/>
      <c r="Q14" s="15"/>
      <c r="R14" s="13"/>
      <c r="S14" s="13"/>
    </row>
    <row r="15" spans="1:17" s="3" customFormat="1" ht="12.75">
      <c r="A15" s="4"/>
      <c r="B15" s="189"/>
      <c r="C15" s="97"/>
      <c r="D15" s="183"/>
      <c r="E15" s="183"/>
      <c r="F15" s="183"/>
      <c r="G15" s="183"/>
      <c r="H15" s="114"/>
      <c r="K15" s="22"/>
      <c r="L15" s="22"/>
      <c r="M15" s="22"/>
      <c r="N15" s="22"/>
      <c r="O15" s="22"/>
      <c r="P15" s="22"/>
      <c r="Q15" s="22"/>
    </row>
    <row r="16" spans="2:17" s="3" customFormat="1" ht="12.75">
      <c r="B16" s="189"/>
      <c r="C16" s="97"/>
      <c r="D16" s="183"/>
      <c r="E16" s="183"/>
      <c r="F16" s="183"/>
      <c r="G16" s="183"/>
      <c r="H16" s="114"/>
      <c r="K16" s="22"/>
      <c r="L16" s="22"/>
      <c r="M16" s="22"/>
      <c r="N16" s="22"/>
      <c r="O16" s="22"/>
      <c r="P16" s="22"/>
      <c r="Q16" s="22"/>
    </row>
    <row r="17" spans="2:17" s="3" customFormat="1" ht="12.75">
      <c r="B17" s="387" t="s">
        <v>107</v>
      </c>
      <c r="C17" s="380"/>
      <c r="D17" s="127"/>
      <c r="E17" s="127"/>
      <c r="F17" s="127"/>
      <c r="G17" s="127"/>
      <c r="H17" s="128"/>
      <c r="I17" s="15"/>
      <c r="J17" s="15"/>
      <c r="K17" s="15"/>
      <c r="L17" s="15"/>
      <c r="M17" s="15"/>
      <c r="N17" s="15"/>
      <c r="O17" s="15"/>
      <c r="P17" s="15"/>
      <c r="Q17" s="15"/>
    </row>
    <row r="18" spans="2:10" s="15" customFormat="1" ht="12" customHeight="1">
      <c r="B18" s="350"/>
      <c r="C18" s="381"/>
      <c r="D18" s="129"/>
      <c r="E18" s="129"/>
      <c r="F18" s="129"/>
      <c r="G18" s="129"/>
      <c r="H18" s="130"/>
      <c r="I18" s="22"/>
      <c r="J18" s="22"/>
    </row>
    <row r="19" spans="2:8" s="22" customFormat="1" ht="12" customHeight="1">
      <c r="B19" s="388" t="s">
        <v>510</v>
      </c>
      <c r="C19" s="303">
        <f>+'Quarterly Data'!J109</f>
        <v>19149</v>
      </c>
      <c r="D19" s="131">
        <f>+'Quarterly Data'!R109</f>
        <v>19149</v>
      </c>
      <c r="E19" s="131">
        <f>+'Quarterly Data'!Z109</f>
        <v>20409</v>
      </c>
      <c r="F19" s="131">
        <f>+'Quarterly Data'!AH109</f>
        <v>20409</v>
      </c>
      <c r="G19" s="131">
        <f>+'Quarterly Data'!AP109</f>
        <v>17108</v>
      </c>
      <c r="H19" s="132">
        <f>+'Quarterly Data'!AX109</f>
        <v>11582</v>
      </c>
    </row>
    <row r="20" spans="2:17" s="22" customFormat="1" ht="12" customHeight="1">
      <c r="B20" s="350" t="s">
        <v>511</v>
      </c>
      <c r="C20" s="303">
        <f>+'Quarterly Data'!J110</f>
        <v>37193</v>
      </c>
      <c r="D20" s="131">
        <f>+'Quarterly Data'!R110</f>
        <v>54666</v>
      </c>
      <c r="E20" s="131">
        <f>+'Quarterly Data'!Z110</f>
        <v>75771</v>
      </c>
      <c r="F20" s="131">
        <f>+'Quarterly Data'!AH110</f>
        <v>75122</v>
      </c>
      <c r="G20" s="131">
        <f>+'Quarterly Data'!AP110</f>
        <v>72325</v>
      </c>
      <c r="H20" s="132">
        <f>+'Quarterly Data'!AX110</f>
        <v>79612</v>
      </c>
      <c r="K20" s="13"/>
      <c r="L20" s="13"/>
      <c r="M20" s="13"/>
      <c r="N20" s="13"/>
      <c r="O20" s="13"/>
      <c r="P20" s="13"/>
      <c r="Q20" s="13"/>
    </row>
    <row r="21" spans="2:17" s="15" customFormat="1" ht="12" customHeight="1">
      <c r="B21" s="389" t="s">
        <v>591</v>
      </c>
      <c r="C21" s="382">
        <f aca="true" t="shared" si="1" ref="C21:H21">+C19+C20</f>
        <v>56342</v>
      </c>
      <c r="D21" s="123">
        <f t="shared" si="1"/>
        <v>73815</v>
      </c>
      <c r="E21" s="123">
        <f t="shared" si="1"/>
        <v>96180</v>
      </c>
      <c r="F21" s="123">
        <f t="shared" si="1"/>
        <v>95531</v>
      </c>
      <c r="G21" s="123">
        <f t="shared" si="1"/>
        <v>89433</v>
      </c>
      <c r="H21" s="124">
        <f t="shared" si="1"/>
        <v>91194</v>
      </c>
      <c r="K21" s="13"/>
      <c r="L21" s="13"/>
      <c r="M21" s="13"/>
      <c r="N21" s="13"/>
      <c r="O21" s="13"/>
      <c r="P21" s="13"/>
      <c r="Q21" s="13"/>
    </row>
    <row r="22" spans="2:17" s="22" customFormat="1" ht="12" customHeight="1" hidden="1" outlineLevel="1">
      <c r="B22" s="119" t="s">
        <v>43</v>
      </c>
      <c r="C22" s="120"/>
      <c r="D22" s="120">
        <f>+D14-D21</f>
        <v>0</v>
      </c>
      <c r="E22" s="120">
        <f>+E14-E21</f>
        <v>0</v>
      </c>
      <c r="F22" s="120">
        <f>+F21-F14</f>
        <v>0</v>
      </c>
      <c r="G22" s="120">
        <f>+G14-G21</f>
        <v>0</v>
      </c>
      <c r="H22" s="120">
        <f>+H14-H21</f>
        <v>0</v>
      </c>
      <c r="K22" s="13"/>
      <c r="L22" s="13"/>
      <c r="M22" s="13"/>
      <c r="N22" s="13"/>
      <c r="O22" s="13"/>
      <c r="P22" s="13"/>
      <c r="Q22" s="13"/>
    </row>
    <row r="23" spans="2:17" s="15" customFormat="1" ht="12" customHeight="1" collapsed="1">
      <c r="B23" s="337" t="s">
        <v>536</v>
      </c>
      <c r="D23" s="98"/>
      <c r="E23" s="98"/>
      <c r="F23" s="98"/>
      <c r="G23" s="98"/>
      <c r="H23" s="98"/>
      <c r="K23" s="13"/>
      <c r="L23" s="13"/>
      <c r="M23" s="13"/>
      <c r="N23" s="13"/>
      <c r="O23" s="13"/>
      <c r="P23" s="13"/>
      <c r="Q23" s="13"/>
    </row>
    <row r="24" spans="2:19" ht="12.75">
      <c r="B24" s="118" t="s">
        <v>508</v>
      </c>
      <c r="D24" s="19"/>
      <c r="E24" s="19"/>
      <c r="F24" s="19"/>
      <c r="G24" s="19"/>
      <c r="H24" s="13"/>
      <c r="K24" s="3"/>
      <c r="L24" s="3"/>
      <c r="M24" s="3"/>
      <c r="N24" s="3"/>
      <c r="O24" s="3"/>
      <c r="P24" s="3"/>
      <c r="Q24" s="3"/>
      <c r="R24" s="13"/>
      <c r="S24" s="13"/>
    </row>
    <row r="25" spans="2:19" ht="12.75">
      <c r="B25" s="19" t="s">
        <v>509</v>
      </c>
      <c r="C25" s="69"/>
      <c r="D25" s="69"/>
      <c r="E25" s="69"/>
      <c r="F25" s="69"/>
      <c r="G25" s="69"/>
      <c r="H25" s="13"/>
      <c r="K25" s="3"/>
      <c r="L25" s="3"/>
      <c r="M25" s="3"/>
      <c r="N25" s="3"/>
      <c r="O25" s="3"/>
      <c r="P25" s="3"/>
      <c r="Q25" s="3"/>
      <c r="R25" s="13"/>
      <c r="S25" s="13"/>
    </row>
    <row r="26" s="1" customFormat="1" ht="12.75"/>
    <row r="27" spans="2:19" ht="12.75">
      <c r="B27" s="814" t="s">
        <v>216</v>
      </c>
      <c r="C27" s="821"/>
      <c r="D27" s="822"/>
      <c r="E27" s="822"/>
      <c r="F27" s="822"/>
      <c r="G27" s="822"/>
      <c r="H27" s="823"/>
      <c r="R27" s="13"/>
      <c r="S27" s="13"/>
    </row>
    <row r="28" spans="2:19" ht="12.75">
      <c r="B28" s="815"/>
      <c r="C28" s="448">
        <v>2013</v>
      </c>
      <c r="D28" s="449" t="str">
        <f>+D5</f>
        <v>2013 Restated</v>
      </c>
      <c r="E28" s="449">
        <f>+E5</f>
        <v>2014</v>
      </c>
      <c r="F28" s="449" t="str">
        <f>+F5</f>
        <v>2014 Restated</v>
      </c>
      <c r="G28" s="449">
        <f>+G5</f>
        <v>2015</v>
      </c>
      <c r="H28" s="450">
        <f>+H5</f>
        <v>2016</v>
      </c>
      <c r="R28" s="13"/>
      <c r="S28" s="13"/>
    </row>
    <row r="29" spans="1:8" s="3" customFormat="1" ht="12.75">
      <c r="A29" s="4"/>
      <c r="B29" s="383"/>
      <c r="C29" s="396"/>
      <c r="D29" s="107"/>
      <c r="E29" s="202"/>
      <c r="F29" s="202"/>
      <c r="G29" s="202"/>
      <c r="H29" s="397"/>
    </row>
    <row r="30" spans="1:8" s="3" customFormat="1" ht="12.75">
      <c r="A30" s="4"/>
      <c r="B30" s="390" t="s">
        <v>210</v>
      </c>
      <c r="C30" s="398"/>
      <c r="D30" s="133"/>
      <c r="E30" s="133"/>
      <c r="F30" s="133"/>
      <c r="G30" s="133"/>
      <c r="H30" s="134"/>
    </row>
    <row r="31" spans="2:19" ht="12.75">
      <c r="B31" s="369"/>
      <c r="C31" s="113"/>
      <c r="D31" s="112"/>
      <c r="E31" s="112"/>
      <c r="F31" s="112"/>
      <c r="G31" s="112"/>
      <c r="H31" s="135"/>
      <c r="P31" s="13"/>
      <c r="Q31" s="13"/>
      <c r="R31" s="13"/>
      <c r="S31" s="13"/>
    </row>
    <row r="32" spans="2:19" ht="14.25">
      <c r="B32" s="189" t="s">
        <v>404</v>
      </c>
      <c r="C32" s="399">
        <f>+'Quarterly Data'!J117</f>
        <v>410</v>
      </c>
      <c r="D32" s="125">
        <f>+'Quarterly Data'!R117</f>
        <v>410</v>
      </c>
      <c r="E32" s="125">
        <f>+'Quarterly Data'!Z117</f>
        <v>417</v>
      </c>
      <c r="F32" s="125">
        <f>+'Quarterly Data'!AH117</f>
        <v>417</v>
      </c>
      <c r="G32" s="125">
        <f>+'Quarterly Data'!AP117</f>
        <v>485</v>
      </c>
      <c r="H32" s="126">
        <f>+'Quarterly Data'!AX117</f>
        <v>521</v>
      </c>
      <c r="P32" s="13"/>
      <c r="Q32" s="13"/>
      <c r="R32" s="13"/>
      <c r="S32" s="13"/>
    </row>
    <row r="33" spans="2:19" ht="12.75">
      <c r="B33" s="189" t="s">
        <v>512</v>
      </c>
      <c r="C33" s="399">
        <f>+'Quarterly Data'!J118</f>
        <v>12512</v>
      </c>
      <c r="D33" s="125">
        <f>+'Quarterly Data'!R118</f>
        <v>12512</v>
      </c>
      <c r="E33" s="125">
        <f>+'Quarterly Data'!Z118</f>
        <v>9915</v>
      </c>
      <c r="F33" s="125">
        <f>+'Quarterly Data'!AH118</f>
        <v>9915</v>
      </c>
      <c r="G33" s="125">
        <f>+'Quarterly Data'!AP118</f>
        <v>12722</v>
      </c>
      <c r="H33" s="126">
        <f>+'Quarterly Data'!AX118</f>
        <v>14615</v>
      </c>
      <c r="P33" s="13"/>
      <c r="Q33" s="13"/>
      <c r="R33" s="13"/>
      <c r="S33" s="13"/>
    </row>
    <row r="34" spans="2:19" ht="12.75">
      <c r="B34" s="189" t="s">
        <v>406</v>
      </c>
      <c r="C34" s="399">
        <f>+'Quarterly Data'!J119</f>
        <v>3078</v>
      </c>
      <c r="D34" s="125">
        <f>+'Quarterly Data'!R119</f>
        <v>3078</v>
      </c>
      <c r="E34" s="125">
        <f>+'Quarterly Data'!Z119</f>
        <v>2739</v>
      </c>
      <c r="F34" s="125">
        <f>+'Quarterly Data'!AH119</f>
        <v>2739</v>
      </c>
      <c r="G34" s="125">
        <f>+'Quarterly Data'!AP119</f>
        <v>4172</v>
      </c>
      <c r="H34" s="126">
        <f>+'Quarterly Data'!AX119</f>
        <v>6745</v>
      </c>
      <c r="P34" s="13"/>
      <c r="Q34" s="13"/>
      <c r="R34" s="13"/>
      <c r="S34" s="13"/>
    </row>
    <row r="35" spans="2:19" ht="14.25">
      <c r="B35" s="189" t="s">
        <v>513</v>
      </c>
      <c r="C35" s="399">
        <f>+'Quarterly Data'!J120</f>
        <v>-341</v>
      </c>
      <c r="D35" s="125">
        <f>+'Quarterly Data'!R120</f>
        <v>-341</v>
      </c>
      <c r="E35" s="125">
        <f>+'Quarterly Data'!Z120</f>
        <v>172</v>
      </c>
      <c r="F35" s="125">
        <f>+'Quarterly Data'!AH120</f>
        <v>172</v>
      </c>
      <c r="G35" s="125">
        <f>+'Quarterly Data'!AP120</f>
        <v>197</v>
      </c>
      <c r="H35" s="126">
        <f>+'Quarterly Data'!AX120</f>
        <v>0</v>
      </c>
      <c r="P35" s="13"/>
      <c r="Q35" s="13"/>
      <c r="R35" s="13"/>
      <c r="S35" s="13"/>
    </row>
    <row r="36" spans="2:19" ht="12.75">
      <c r="B36" s="386" t="s">
        <v>590</v>
      </c>
      <c r="C36" s="400">
        <f>+SUM(C32:C35)</f>
        <v>15659</v>
      </c>
      <c r="D36" s="101">
        <f>SUM(D32:D35)</f>
        <v>15659</v>
      </c>
      <c r="E36" s="101">
        <f>SUM(E32:E35)</f>
        <v>13243</v>
      </c>
      <c r="F36" s="101">
        <f>SUM(F32:F35)</f>
        <v>13243</v>
      </c>
      <c r="G36" s="101">
        <f>SUM(G32:G35)</f>
        <v>17576</v>
      </c>
      <c r="H36" s="103">
        <f>SUM(H32:H35)</f>
        <v>21881</v>
      </c>
      <c r="P36" s="13"/>
      <c r="Q36" s="13"/>
      <c r="R36" s="13"/>
      <c r="S36" s="13"/>
    </row>
    <row r="37" spans="2:19" ht="12.75">
      <c r="B37" s="372"/>
      <c r="C37" s="115"/>
      <c r="D37" s="59"/>
      <c r="E37" s="59"/>
      <c r="F37" s="59"/>
      <c r="G37" s="59"/>
      <c r="H37" s="104"/>
      <c r="P37" s="13"/>
      <c r="Q37" s="13"/>
      <c r="R37" s="13"/>
      <c r="S37" s="13"/>
    </row>
    <row r="38" spans="2:19" ht="12.75">
      <c r="B38" s="392"/>
      <c r="C38" s="115"/>
      <c r="D38" s="59"/>
      <c r="E38" s="59"/>
      <c r="F38" s="59"/>
      <c r="G38" s="59"/>
      <c r="H38" s="104"/>
      <c r="P38" s="13"/>
      <c r="Q38" s="13"/>
      <c r="R38" s="13"/>
      <c r="S38" s="13"/>
    </row>
    <row r="39" spans="2:19" ht="12.75">
      <c r="B39" s="386" t="s">
        <v>403</v>
      </c>
      <c r="C39" s="401">
        <f>+'Quarterly Data'!J122</f>
        <v>1799</v>
      </c>
      <c r="D39" s="105">
        <f>+'Quarterly Data'!R122</f>
        <v>1799</v>
      </c>
      <c r="E39" s="105">
        <f>+'Quarterly Data'!Z122</f>
        <v>1734</v>
      </c>
      <c r="F39" s="105">
        <f>+'Quarterly Data'!AH122</f>
        <v>1734</v>
      </c>
      <c r="G39" s="105">
        <f>+'Quarterly Data'!AP122</f>
        <v>1508</v>
      </c>
      <c r="H39" s="106">
        <f>+'Quarterly Data'!AX122</f>
        <v>1403</v>
      </c>
      <c r="P39" s="13"/>
      <c r="Q39" s="13"/>
      <c r="R39" s="13"/>
      <c r="S39" s="13"/>
    </row>
    <row r="40" spans="2:19" ht="12.75">
      <c r="B40" s="153"/>
      <c r="C40" s="115"/>
      <c r="D40" s="59"/>
      <c r="E40" s="59"/>
      <c r="F40" s="59"/>
      <c r="G40" s="59"/>
      <c r="H40" s="104"/>
      <c r="P40" s="13"/>
      <c r="Q40" s="13"/>
      <c r="R40" s="13"/>
      <c r="S40" s="13"/>
    </row>
    <row r="41" spans="2:19" ht="12.75">
      <c r="B41" s="153"/>
      <c r="C41" s="115"/>
      <c r="D41" s="59"/>
      <c r="E41" s="59"/>
      <c r="F41" s="59"/>
      <c r="G41" s="59"/>
      <c r="H41" s="104"/>
      <c r="P41" s="13"/>
      <c r="Q41" s="13"/>
      <c r="R41" s="13"/>
      <c r="S41" s="13"/>
    </row>
    <row r="42" spans="2:19" ht="12.75">
      <c r="B42" s="390" t="s">
        <v>211</v>
      </c>
      <c r="C42" s="398"/>
      <c r="D42" s="133"/>
      <c r="E42" s="133"/>
      <c r="F42" s="133"/>
      <c r="G42" s="133"/>
      <c r="H42" s="134"/>
      <c r="P42" s="13"/>
      <c r="Q42" s="13"/>
      <c r="R42" s="13"/>
      <c r="S42" s="13"/>
    </row>
    <row r="43" spans="2:19" ht="12.75">
      <c r="B43" s="393"/>
      <c r="C43" s="398"/>
      <c r="D43" s="133"/>
      <c r="E43" s="133"/>
      <c r="F43" s="133"/>
      <c r="G43" s="133"/>
      <c r="H43" s="134"/>
      <c r="P43" s="13"/>
      <c r="Q43" s="13"/>
      <c r="R43" s="13"/>
      <c r="S43" s="13"/>
    </row>
    <row r="44" spans="2:19" ht="12.75">
      <c r="B44" s="394" t="s">
        <v>110</v>
      </c>
      <c r="C44" s="402">
        <f>+'Quarterly Data'!J125</f>
        <v>2737</v>
      </c>
      <c r="D44" s="72">
        <f>+'Quarterly Data'!R125</f>
        <v>2737</v>
      </c>
      <c r="E44" s="72">
        <f>+'Quarterly Data'!Z125</f>
        <v>2314</v>
      </c>
      <c r="F44" s="72">
        <f>+'Quarterly Data'!AH125</f>
        <v>2314</v>
      </c>
      <c r="G44" s="72">
        <f>+'Quarterly Data'!AP125</f>
        <v>2648</v>
      </c>
      <c r="H44" s="209">
        <f>+'Quarterly Data'!AX125</f>
        <v>2562</v>
      </c>
      <c r="P44" s="13"/>
      <c r="Q44" s="13"/>
      <c r="R44" s="13"/>
      <c r="S44" s="13"/>
    </row>
    <row r="45" spans="2:19" ht="12.75">
      <c r="B45" s="155" t="s">
        <v>111</v>
      </c>
      <c r="C45" s="402">
        <f>+'Quarterly Data'!J126</f>
        <v>2707</v>
      </c>
      <c r="D45" s="72">
        <f>+'Quarterly Data'!R126</f>
        <v>2707</v>
      </c>
      <c r="E45" s="72">
        <f>+'Quarterly Data'!Z126</f>
        <v>3413</v>
      </c>
      <c r="F45" s="72">
        <f>+'Quarterly Data'!AH126</f>
        <v>3413</v>
      </c>
      <c r="G45" s="72">
        <f>+'Quarterly Data'!AP126</f>
        <v>3385</v>
      </c>
      <c r="H45" s="209">
        <f>+'Quarterly Data'!AX126</f>
        <v>3970</v>
      </c>
      <c r="P45" s="13"/>
      <c r="Q45" s="13"/>
      <c r="R45" s="13"/>
      <c r="S45" s="13"/>
    </row>
    <row r="46" spans="2:19" ht="12.75">
      <c r="B46" s="155" t="s">
        <v>112</v>
      </c>
      <c r="C46" s="402">
        <f>+'Quarterly Data'!J127</f>
        <v>6578</v>
      </c>
      <c r="D46" s="72">
        <f>+'Quarterly Data'!R127</f>
        <v>6578</v>
      </c>
      <c r="E46" s="72">
        <f>+'Quarterly Data'!Z127</f>
        <v>4407</v>
      </c>
      <c r="F46" s="72">
        <f>+'Quarterly Data'!AH127</f>
        <v>4407</v>
      </c>
      <c r="G46" s="72">
        <f>+'Quarterly Data'!AP127</f>
        <v>5671</v>
      </c>
      <c r="H46" s="209">
        <f>+'Quarterly Data'!AX127</f>
        <v>7320</v>
      </c>
      <c r="P46" s="13"/>
      <c r="Q46" s="13"/>
      <c r="R46" s="13"/>
      <c r="S46" s="13"/>
    </row>
    <row r="47" spans="2:19" ht="12.75">
      <c r="B47" s="155" t="s">
        <v>113</v>
      </c>
      <c r="C47" s="402">
        <f>+'Quarterly Data'!J128</f>
        <v>3637</v>
      </c>
      <c r="D47" s="72">
        <f>+'Quarterly Data'!R128</f>
        <v>3637</v>
      </c>
      <c r="E47" s="72">
        <f>+'Quarterly Data'!Z128</f>
        <v>3109</v>
      </c>
      <c r="F47" s="72">
        <f>+'Quarterly Data'!AH128</f>
        <v>3109</v>
      </c>
      <c r="G47" s="72">
        <f>+'Quarterly Data'!AP128</f>
        <v>5872</v>
      </c>
      <c r="H47" s="209">
        <f>+'Quarterly Data'!AX128</f>
        <v>8029</v>
      </c>
      <c r="P47" s="13"/>
      <c r="Q47" s="13"/>
      <c r="R47" s="13"/>
      <c r="S47" s="13"/>
    </row>
    <row r="48" spans="2:19" ht="12.75">
      <c r="B48" s="386" t="s">
        <v>591</v>
      </c>
      <c r="C48" s="400">
        <f aca="true" t="shared" si="2" ref="C48:H48">+SUM(C44:C47)</f>
        <v>15659</v>
      </c>
      <c r="D48" s="101">
        <f t="shared" si="2"/>
        <v>15659</v>
      </c>
      <c r="E48" s="101">
        <f t="shared" si="2"/>
        <v>13243</v>
      </c>
      <c r="F48" s="101">
        <f t="shared" si="2"/>
        <v>13243</v>
      </c>
      <c r="G48" s="101">
        <f t="shared" si="2"/>
        <v>17576</v>
      </c>
      <c r="H48" s="103">
        <f t="shared" si="2"/>
        <v>21881</v>
      </c>
      <c r="P48" s="13"/>
      <c r="Q48" s="13"/>
      <c r="R48" s="13"/>
      <c r="S48" s="13"/>
    </row>
    <row r="49" spans="2:19" ht="12.75">
      <c r="B49" s="153"/>
      <c r="C49" s="403"/>
      <c r="D49" s="102"/>
      <c r="E49" s="102"/>
      <c r="F49" s="102"/>
      <c r="G49" s="102"/>
      <c r="H49" s="108"/>
      <c r="P49" s="13"/>
      <c r="Q49" s="13"/>
      <c r="R49" s="13"/>
      <c r="S49" s="13"/>
    </row>
    <row r="50" spans="2:19" ht="12.75">
      <c r="B50" s="386" t="s">
        <v>405</v>
      </c>
      <c r="C50" s="401">
        <f aca="true" t="shared" si="3" ref="C50:H50">+C39</f>
        <v>1799</v>
      </c>
      <c r="D50" s="105">
        <f t="shared" si="3"/>
        <v>1799</v>
      </c>
      <c r="E50" s="105">
        <f t="shared" si="3"/>
        <v>1734</v>
      </c>
      <c r="F50" s="105">
        <f t="shared" si="3"/>
        <v>1734</v>
      </c>
      <c r="G50" s="105">
        <f t="shared" si="3"/>
        <v>1508</v>
      </c>
      <c r="H50" s="106">
        <f t="shared" si="3"/>
        <v>1403</v>
      </c>
      <c r="P50" s="13"/>
      <c r="Q50" s="13"/>
      <c r="R50" s="13"/>
      <c r="S50" s="13"/>
    </row>
    <row r="51" spans="2:19" ht="12.75">
      <c r="B51" s="174"/>
      <c r="C51" s="404"/>
      <c r="D51" s="109"/>
      <c r="E51" s="109"/>
      <c r="F51" s="109"/>
      <c r="G51" s="109"/>
      <c r="H51" s="110"/>
      <c r="P51" s="13"/>
      <c r="Q51" s="13"/>
      <c r="R51" s="13"/>
      <c r="S51" s="13"/>
    </row>
    <row r="52" spans="2:19" ht="12.75" hidden="1" outlineLevel="1">
      <c r="B52" s="174" t="s">
        <v>43</v>
      </c>
      <c r="C52" s="404">
        <f aca="true" t="shared" si="4" ref="C52:H52">+C36-C48</f>
        <v>0</v>
      </c>
      <c r="D52" s="109">
        <f t="shared" si="4"/>
        <v>0</v>
      </c>
      <c r="E52" s="109">
        <f t="shared" si="4"/>
        <v>0</v>
      </c>
      <c r="F52" s="109">
        <f t="shared" si="4"/>
        <v>0</v>
      </c>
      <c r="G52" s="109">
        <f t="shared" si="4"/>
        <v>0</v>
      </c>
      <c r="H52" s="110">
        <f t="shared" si="4"/>
        <v>0</v>
      </c>
      <c r="P52" s="13"/>
      <c r="Q52" s="13"/>
      <c r="R52" s="13"/>
      <c r="S52" s="13"/>
    </row>
    <row r="53" spans="2:19" ht="12.75" collapsed="1">
      <c r="B53" s="395"/>
      <c r="C53" s="100"/>
      <c r="D53" s="60"/>
      <c r="E53" s="60"/>
      <c r="F53" s="60"/>
      <c r="G53" s="60"/>
      <c r="H53" s="111"/>
      <c r="P53" s="13"/>
      <c r="Q53" s="13"/>
      <c r="R53" s="13"/>
      <c r="S53" s="13"/>
    </row>
    <row r="54" spans="2:19" ht="12.75">
      <c r="B54" s="390" t="s">
        <v>182</v>
      </c>
      <c r="C54" s="398"/>
      <c r="D54" s="133"/>
      <c r="E54" s="133"/>
      <c r="F54" s="133"/>
      <c r="G54" s="133"/>
      <c r="H54" s="134"/>
      <c r="P54" s="13"/>
      <c r="Q54" s="13"/>
      <c r="R54" s="13"/>
      <c r="S54" s="13"/>
    </row>
    <row r="55" spans="2:19" ht="12.75">
      <c r="B55" s="369"/>
      <c r="C55" s="115"/>
      <c r="D55" s="59"/>
      <c r="E55" s="59"/>
      <c r="F55" s="59"/>
      <c r="G55" s="59"/>
      <c r="H55" s="104"/>
      <c r="P55" s="13"/>
      <c r="Q55" s="13"/>
      <c r="R55" s="13"/>
      <c r="S55" s="13"/>
    </row>
    <row r="56" spans="2:19" ht="12.75">
      <c r="B56" s="369" t="s">
        <v>109</v>
      </c>
      <c r="C56" s="405">
        <v>1940</v>
      </c>
      <c r="D56" s="192">
        <v>1940</v>
      </c>
      <c r="E56" s="192">
        <v>2620</v>
      </c>
      <c r="F56" s="192">
        <v>2620</v>
      </c>
      <c r="G56" s="192">
        <v>2546</v>
      </c>
      <c r="H56" s="285">
        <v>2163</v>
      </c>
      <c r="P56" s="13"/>
      <c r="Q56" s="13"/>
      <c r="R56" s="13"/>
      <c r="S56" s="13"/>
    </row>
    <row r="57" spans="2:19" ht="12.75">
      <c r="B57" s="372" t="s">
        <v>403</v>
      </c>
      <c r="C57" s="405">
        <v>1640</v>
      </c>
      <c r="D57" s="192">
        <v>1640</v>
      </c>
      <c r="E57" s="192">
        <v>1541</v>
      </c>
      <c r="F57" s="192">
        <v>1541</v>
      </c>
      <c r="G57" s="192">
        <v>1808</v>
      </c>
      <c r="H57" s="285">
        <v>1980</v>
      </c>
      <c r="P57" s="13"/>
      <c r="Q57" s="13"/>
      <c r="R57" s="13"/>
      <c r="S57" s="13"/>
    </row>
    <row r="58" spans="2:19" ht="12.75">
      <c r="B58" s="395"/>
      <c r="C58" s="115"/>
      <c r="D58" s="59"/>
      <c r="E58" s="59"/>
      <c r="F58" s="59"/>
      <c r="G58" s="59"/>
      <c r="H58" s="104"/>
      <c r="P58" s="13"/>
      <c r="Q58" s="13"/>
      <c r="R58" s="13"/>
      <c r="S58" s="13"/>
    </row>
    <row r="59" spans="2:19" ht="12.75">
      <c r="B59" s="391" t="s">
        <v>181</v>
      </c>
      <c r="C59" s="400">
        <f aca="true" t="shared" si="5" ref="C59:H59">+C56+C57</f>
        <v>3580</v>
      </c>
      <c r="D59" s="101">
        <f t="shared" si="5"/>
        <v>3580</v>
      </c>
      <c r="E59" s="101">
        <f t="shared" si="5"/>
        <v>4161</v>
      </c>
      <c r="F59" s="101">
        <f t="shared" si="5"/>
        <v>4161</v>
      </c>
      <c r="G59" s="101">
        <f t="shared" si="5"/>
        <v>4354</v>
      </c>
      <c r="H59" s="103">
        <f t="shared" si="5"/>
        <v>4143</v>
      </c>
      <c r="P59" s="13"/>
      <c r="Q59" s="13"/>
      <c r="R59" s="13"/>
      <c r="S59" s="13"/>
    </row>
    <row r="60" spans="2:19" ht="12.75">
      <c r="B60" s="175"/>
      <c r="C60" s="115"/>
      <c r="D60" s="59"/>
      <c r="E60" s="59"/>
      <c r="F60" s="59"/>
      <c r="G60" s="59"/>
      <c r="H60" s="104"/>
      <c r="P60" s="13"/>
      <c r="Q60" s="13"/>
      <c r="R60" s="13"/>
      <c r="S60" s="13"/>
    </row>
    <row r="61" spans="1:8" s="3" customFormat="1" ht="11.25" customHeight="1">
      <c r="A61" s="4"/>
      <c r="B61" s="152"/>
      <c r="C61" s="398"/>
      <c r="D61" s="133"/>
      <c r="E61" s="133"/>
      <c r="F61" s="133"/>
      <c r="G61" s="133"/>
      <c r="H61" s="134"/>
    </row>
    <row r="62" spans="2:19" ht="12.75">
      <c r="B62" s="386" t="s">
        <v>411</v>
      </c>
      <c r="C62" s="406">
        <v>50.4</v>
      </c>
      <c r="D62" s="338">
        <v>50.4</v>
      </c>
      <c r="E62" s="338">
        <v>46.2</v>
      </c>
      <c r="F62" s="338">
        <v>46.2</v>
      </c>
      <c r="G62" s="338">
        <v>42</v>
      </c>
      <c r="H62" s="339">
        <v>40.4</v>
      </c>
      <c r="P62" s="13"/>
      <c r="Q62" s="13"/>
      <c r="R62" s="13"/>
      <c r="S62" s="13"/>
    </row>
    <row r="63" spans="2:19" ht="12.75">
      <c r="B63" s="389" t="s">
        <v>514</v>
      </c>
      <c r="C63" s="407">
        <v>309.3</v>
      </c>
      <c r="D63" s="286">
        <v>309.3</v>
      </c>
      <c r="E63" s="286">
        <v>283.5</v>
      </c>
      <c r="F63" s="286">
        <v>283.5</v>
      </c>
      <c r="G63" s="286">
        <v>257.5</v>
      </c>
      <c r="H63" s="287">
        <v>248.4</v>
      </c>
      <c r="P63" s="13"/>
      <c r="Q63" s="13"/>
      <c r="R63" s="13"/>
      <c r="S63" s="13"/>
    </row>
    <row r="64" ht="12.75">
      <c r="B64" s="316" t="s">
        <v>515</v>
      </c>
    </row>
    <row r="65" ht="12.75">
      <c r="B65" s="340" t="s">
        <v>516</v>
      </c>
    </row>
    <row r="66" ht="12.75">
      <c r="B66" s="17" t="s">
        <v>229</v>
      </c>
    </row>
    <row r="67" ht="12.75">
      <c r="B67" s="17" t="s">
        <v>230</v>
      </c>
    </row>
  </sheetData>
  <sheetProtection/>
  <mergeCells count="4">
    <mergeCell ref="B4:B5"/>
    <mergeCell ref="B27:B28"/>
    <mergeCell ref="C4:H4"/>
    <mergeCell ref="C27:H27"/>
  </mergeCells>
  <printOptions horizontalCentered="1" verticalCentered="1"/>
  <pageMargins left="0.5511811023622047" right="0.5511811023622047" top="0.6692913385826772" bottom="4.645669291338583" header="0.5118110236220472" footer="0.5118110236220472"/>
  <pageSetup horizontalDpi="600" verticalDpi="600" orientation="portrait" paperSize="9" scale="55" r:id="rId1"/>
</worksheet>
</file>

<file path=xl/worksheets/sheet4.xml><?xml version="1.0" encoding="utf-8"?>
<worksheet xmlns="http://schemas.openxmlformats.org/spreadsheetml/2006/main" xmlns:r="http://schemas.openxmlformats.org/officeDocument/2006/relationships">
  <dimension ref="A2:O30"/>
  <sheetViews>
    <sheetView zoomScalePageLayoutView="0" workbookViewId="0" topLeftCell="A1">
      <selection activeCell="C4" sqref="C4:H4"/>
    </sheetView>
  </sheetViews>
  <sheetFormatPr defaultColWidth="9.140625" defaultRowHeight="12.75" outlineLevelCol="1"/>
  <cols>
    <col min="1" max="1" width="6.421875" style="47" customWidth="1"/>
    <col min="2" max="2" width="50.7109375" style="47" bestFit="1" customWidth="1"/>
    <col min="3" max="3" width="11.28125" style="47" hidden="1" customWidth="1" outlineLevel="1"/>
    <col min="4" max="4" width="13.7109375" style="47" customWidth="1" collapsed="1"/>
    <col min="5" max="5" width="11.28125" style="47" hidden="1" customWidth="1" outlineLevel="1"/>
    <col min="6" max="6" width="13.57421875" style="47" customWidth="1" collapsed="1"/>
    <col min="7" max="9" width="11.28125" style="47" customWidth="1"/>
    <col min="10" max="16384" width="9.140625" style="47" customWidth="1"/>
  </cols>
  <sheetData>
    <row r="2" ht="15.75">
      <c r="B2" s="16" t="s">
        <v>217</v>
      </c>
    </row>
    <row r="4" spans="1:8" ht="12.75">
      <c r="A4" s="45"/>
      <c r="B4" s="824" t="s">
        <v>114</v>
      </c>
      <c r="C4" s="821"/>
      <c r="D4" s="822"/>
      <c r="E4" s="822"/>
      <c r="F4" s="822"/>
      <c r="G4" s="822"/>
      <c r="H4" s="823"/>
    </row>
    <row r="5" spans="1:8" s="45" customFormat="1" ht="12.75">
      <c r="A5" s="47"/>
      <c r="B5" s="825"/>
      <c r="C5" s="448">
        <v>2013</v>
      </c>
      <c r="D5" s="449" t="s">
        <v>375</v>
      </c>
      <c r="E5" s="449">
        <v>2014</v>
      </c>
      <c r="F5" s="449" t="s">
        <v>376</v>
      </c>
      <c r="G5" s="449">
        <v>2015</v>
      </c>
      <c r="H5" s="450">
        <v>2016</v>
      </c>
    </row>
    <row r="6" spans="2:8" s="45" customFormat="1" ht="12.75">
      <c r="B6" s="369"/>
      <c r="C6" s="365"/>
      <c r="D6" s="188"/>
      <c r="E6" s="188"/>
      <c r="F6" s="188"/>
      <c r="G6" s="188"/>
      <c r="H6" s="186"/>
    </row>
    <row r="7" spans="1:8" s="46" customFormat="1" ht="12.75">
      <c r="A7" s="45"/>
      <c r="B7" s="370" t="s">
        <v>395</v>
      </c>
      <c r="C7" s="366">
        <v>5059</v>
      </c>
      <c r="D7" s="240">
        <v>4931</v>
      </c>
      <c r="E7" s="240">
        <v>3742</v>
      </c>
      <c r="F7" s="240">
        <v>3742</v>
      </c>
      <c r="G7" s="240">
        <v>3733</v>
      </c>
      <c r="H7" s="241">
        <v>3327</v>
      </c>
    </row>
    <row r="8" spans="2:8" s="46" customFormat="1" ht="12.75">
      <c r="B8" s="370" t="s">
        <v>394</v>
      </c>
      <c r="C8" s="366">
        <f>26+2</f>
        <v>28</v>
      </c>
      <c r="D8" s="240">
        <f>26+2</f>
        <v>28</v>
      </c>
      <c r="E8" s="240">
        <f>8+3</f>
        <v>11</v>
      </c>
      <c r="F8" s="240">
        <v>8</v>
      </c>
      <c r="G8" s="240">
        <v>0</v>
      </c>
      <c r="H8" s="241">
        <v>0</v>
      </c>
    </row>
    <row r="9" spans="2:8" ht="13.5" customHeight="1">
      <c r="B9" s="175" t="s">
        <v>103</v>
      </c>
      <c r="C9" s="367">
        <v>3497</v>
      </c>
      <c r="D9" s="242">
        <v>3497</v>
      </c>
      <c r="E9" s="242">
        <v>4165</v>
      </c>
      <c r="F9" s="242">
        <v>4165</v>
      </c>
      <c r="G9" s="242">
        <v>3471</v>
      </c>
      <c r="H9" s="243">
        <v>2968</v>
      </c>
    </row>
    <row r="10" spans="2:8" ht="12.75">
      <c r="B10" s="175" t="s">
        <v>104</v>
      </c>
      <c r="C10" s="367">
        <v>17</v>
      </c>
      <c r="D10" s="242">
        <v>17</v>
      </c>
      <c r="E10" s="242">
        <v>19</v>
      </c>
      <c r="F10" s="242">
        <v>19</v>
      </c>
      <c r="G10" s="242">
        <v>1</v>
      </c>
      <c r="H10" s="243">
        <v>0</v>
      </c>
    </row>
    <row r="11" spans="2:8" ht="12.75">
      <c r="B11" s="175" t="s">
        <v>150</v>
      </c>
      <c r="C11" s="367">
        <v>23</v>
      </c>
      <c r="D11" s="242">
        <v>21</v>
      </c>
      <c r="E11" s="242">
        <v>21</v>
      </c>
      <c r="F11" s="242">
        <v>21</v>
      </c>
      <c r="G11" s="242">
        <v>23</v>
      </c>
      <c r="H11" s="243">
        <v>43</v>
      </c>
    </row>
    <row r="12" spans="2:8" ht="13.5" customHeight="1">
      <c r="B12" s="175" t="s">
        <v>105</v>
      </c>
      <c r="C12" s="367">
        <f>4+59</f>
        <v>63</v>
      </c>
      <c r="D12" s="242">
        <v>63</v>
      </c>
      <c r="E12" s="242">
        <v>81</v>
      </c>
      <c r="F12" s="242">
        <v>84</v>
      </c>
      <c r="G12" s="242">
        <v>77</v>
      </c>
      <c r="H12" s="243">
        <v>98</v>
      </c>
    </row>
    <row r="13" spans="2:8" ht="13.5" customHeight="1">
      <c r="B13" s="371" t="s">
        <v>393</v>
      </c>
      <c r="C13" s="368">
        <f aca="true" t="shared" si="0" ref="C13:H13">+SUM(C7:C12)</f>
        <v>8687</v>
      </c>
      <c r="D13" s="313">
        <f t="shared" si="0"/>
        <v>8557</v>
      </c>
      <c r="E13" s="313">
        <f t="shared" si="0"/>
        <v>8039</v>
      </c>
      <c r="F13" s="313">
        <f t="shared" si="0"/>
        <v>8039</v>
      </c>
      <c r="G13" s="313">
        <f t="shared" si="0"/>
        <v>7305</v>
      </c>
      <c r="H13" s="314">
        <f t="shared" si="0"/>
        <v>6436</v>
      </c>
    </row>
    <row r="14" spans="2:8" ht="12.75">
      <c r="B14" s="175" t="s">
        <v>175</v>
      </c>
      <c r="C14" s="367">
        <v>2102</v>
      </c>
      <c r="D14" s="242">
        <v>2102</v>
      </c>
      <c r="E14" s="242">
        <v>2293</v>
      </c>
      <c r="F14" s="242">
        <v>2293</v>
      </c>
      <c r="G14" s="242">
        <v>2071</v>
      </c>
      <c r="H14" s="243">
        <v>1722</v>
      </c>
    </row>
    <row r="15" spans="2:8" ht="12.75">
      <c r="B15" s="372" t="s">
        <v>390</v>
      </c>
      <c r="C15" s="367">
        <v>135</v>
      </c>
      <c r="D15" s="242">
        <v>127</v>
      </c>
      <c r="E15" s="242">
        <v>136</v>
      </c>
      <c r="F15" s="242">
        <v>136</v>
      </c>
      <c r="G15" s="242">
        <v>161</v>
      </c>
      <c r="H15" s="243">
        <v>215</v>
      </c>
    </row>
    <row r="16" spans="2:8" ht="12.75">
      <c r="B16" s="175" t="s">
        <v>227</v>
      </c>
      <c r="C16" s="367">
        <v>106</v>
      </c>
      <c r="D16" s="242">
        <v>106</v>
      </c>
      <c r="E16" s="242">
        <v>107</v>
      </c>
      <c r="F16" s="242">
        <v>107</v>
      </c>
      <c r="G16" s="242">
        <v>117</v>
      </c>
      <c r="H16" s="243">
        <v>115</v>
      </c>
    </row>
    <row r="17" spans="2:8" ht="12.75">
      <c r="B17" s="372" t="s">
        <v>391</v>
      </c>
      <c r="C17" s="367">
        <v>135</v>
      </c>
      <c r="D17" s="242">
        <v>133</v>
      </c>
      <c r="E17" s="242">
        <v>147</v>
      </c>
      <c r="F17" s="242">
        <v>147</v>
      </c>
      <c r="G17" s="242">
        <v>119</v>
      </c>
      <c r="H17" s="243">
        <v>99</v>
      </c>
    </row>
    <row r="18" spans="2:8" s="312" customFormat="1" ht="12.75">
      <c r="B18" s="189" t="s">
        <v>386</v>
      </c>
      <c r="C18" s="367">
        <v>121</v>
      </c>
      <c r="D18" s="242">
        <v>121</v>
      </c>
      <c r="E18" s="242">
        <v>144</v>
      </c>
      <c r="F18" s="242">
        <v>144</v>
      </c>
      <c r="G18" s="242">
        <v>82</v>
      </c>
      <c r="H18" s="243">
        <v>44</v>
      </c>
    </row>
    <row r="19" spans="2:8" ht="12.75">
      <c r="B19" s="372" t="s">
        <v>387</v>
      </c>
      <c r="C19" s="367">
        <v>121</v>
      </c>
      <c r="D19" s="242">
        <v>121</v>
      </c>
      <c r="E19" s="242">
        <v>182</v>
      </c>
      <c r="F19" s="242">
        <v>182</v>
      </c>
      <c r="G19" s="242">
        <v>253</v>
      </c>
      <c r="H19" s="243">
        <v>1276</v>
      </c>
    </row>
    <row r="20" spans="2:8" ht="12.75">
      <c r="B20" s="372" t="s">
        <v>396</v>
      </c>
      <c r="C20" s="367">
        <v>25</v>
      </c>
      <c r="D20" s="242">
        <v>0</v>
      </c>
      <c r="E20" s="242">
        <v>0</v>
      </c>
      <c r="F20" s="242">
        <v>0</v>
      </c>
      <c r="G20" s="242">
        <v>0</v>
      </c>
      <c r="H20" s="243">
        <v>0</v>
      </c>
    </row>
    <row r="21" spans="2:8" ht="12.75">
      <c r="B21" s="189" t="s">
        <v>392</v>
      </c>
      <c r="C21" s="248">
        <v>29</v>
      </c>
      <c r="D21" s="247">
        <v>29</v>
      </c>
      <c r="E21" s="247">
        <v>23</v>
      </c>
      <c r="F21" s="247">
        <v>23</v>
      </c>
      <c r="G21" s="247">
        <v>62</v>
      </c>
      <c r="H21" s="277">
        <v>57</v>
      </c>
    </row>
    <row r="22" spans="2:8" ht="12.75">
      <c r="B22" s="189" t="s">
        <v>388</v>
      </c>
      <c r="C22" s="367">
        <v>-48</v>
      </c>
      <c r="D22" s="242">
        <v>-48</v>
      </c>
      <c r="E22" s="242">
        <v>91</v>
      </c>
      <c r="F22" s="242">
        <v>91</v>
      </c>
      <c r="G22" s="242">
        <v>138</v>
      </c>
      <c r="H22" s="243">
        <v>22</v>
      </c>
    </row>
    <row r="23" spans="2:8" ht="12.75">
      <c r="B23" s="189" t="s">
        <v>389</v>
      </c>
      <c r="C23" s="367">
        <v>116</v>
      </c>
      <c r="D23" s="242">
        <v>112</v>
      </c>
      <c r="E23" s="242">
        <v>121</v>
      </c>
      <c r="F23" s="242">
        <v>121</v>
      </c>
      <c r="G23" s="242">
        <v>107</v>
      </c>
      <c r="H23" s="243">
        <v>94</v>
      </c>
    </row>
    <row r="24" spans="2:8" ht="12.75">
      <c r="B24" s="189" t="s">
        <v>397</v>
      </c>
      <c r="C24" s="367">
        <v>4</v>
      </c>
      <c r="D24" s="242">
        <v>4</v>
      </c>
      <c r="E24" s="242">
        <v>1</v>
      </c>
      <c r="F24" s="242">
        <v>0</v>
      </c>
      <c r="G24" s="242">
        <v>0</v>
      </c>
      <c r="H24" s="243">
        <v>0</v>
      </c>
    </row>
    <row r="25" spans="2:8" ht="12.75">
      <c r="B25" s="175" t="s">
        <v>115</v>
      </c>
      <c r="C25" s="367">
        <v>282</v>
      </c>
      <c r="D25" s="242">
        <v>277</v>
      </c>
      <c r="E25" s="242">
        <v>261</v>
      </c>
      <c r="F25" s="242">
        <v>262</v>
      </c>
      <c r="G25" s="242">
        <v>209</v>
      </c>
      <c r="H25" s="243">
        <v>238</v>
      </c>
    </row>
    <row r="26" spans="2:8" ht="15" customHeight="1">
      <c r="B26" s="373" t="s">
        <v>116</v>
      </c>
      <c r="C26" s="137">
        <f aca="true" t="shared" si="1" ref="C26:H26">+SUM(C13:C25)</f>
        <v>11815</v>
      </c>
      <c r="D26" s="138">
        <f t="shared" si="1"/>
        <v>11641</v>
      </c>
      <c r="E26" s="138">
        <f t="shared" si="1"/>
        <v>11545</v>
      </c>
      <c r="F26" s="138">
        <f t="shared" si="1"/>
        <v>11545</v>
      </c>
      <c r="G26" s="138">
        <f t="shared" si="1"/>
        <v>10624</v>
      </c>
      <c r="H26" s="139">
        <f t="shared" si="1"/>
        <v>10318</v>
      </c>
    </row>
    <row r="27" spans="3:7" ht="12.75">
      <c r="C27" s="29"/>
      <c r="D27" s="29"/>
      <c r="E27" s="29"/>
      <c r="F27" s="29"/>
      <c r="G27" s="29"/>
    </row>
    <row r="28" spans="3:15" ht="12.75">
      <c r="C28" s="29"/>
      <c r="D28" s="29"/>
      <c r="E28" s="29"/>
      <c r="F28" s="29"/>
      <c r="G28" s="29"/>
      <c r="I28" s="29"/>
      <c r="J28" s="29"/>
      <c r="K28" s="29"/>
      <c r="L28" s="29"/>
      <c r="M28" s="29"/>
      <c r="N28" s="29"/>
      <c r="O28" s="29"/>
    </row>
    <row r="29" spans="3:7" ht="12.75">
      <c r="C29" s="29"/>
      <c r="D29" s="29"/>
      <c r="E29" s="29"/>
      <c r="F29" s="29"/>
      <c r="G29" s="29"/>
    </row>
    <row r="30" spans="3:9" ht="12.75">
      <c r="C30" s="29"/>
      <c r="D30" s="29"/>
      <c r="E30" s="29"/>
      <c r="F30" s="29"/>
      <c r="G30" s="29"/>
      <c r="H30" s="29"/>
      <c r="I30" s="29"/>
    </row>
  </sheetData>
  <sheetProtection/>
  <mergeCells count="2">
    <mergeCell ref="B4:B5"/>
    <mergeCell ref="C4:H4"/>
  </mergeCells>
  <printOptions/>
  <pageMargins left="0.7480314960629921" right="0.7480314960629921" top="0.984251968503937" bottom="0.984251968503937" header="0.5118110236220472" footer="0.5118110236220472"/>
  <pageSetup horizontalDpi="600" verticalDpi="600" orientation="portrait" paperSize="9" scale="55" r:id="rId1"/>
</worksheet>
</file>

<file path=xl/worksheets/sheet5.xml><?xml version="1.0" encoding="utf-8"?>
<worksheet xmlns="http://schemas.openxmlformats.org/spreadsheetml/2006/main" xmlns:r="http://schemas.openxmlformats.org/officeDocument/2006/relationships">
  <dimension ref="A1:BY509"/>
  <sheetViews>
    <sheetView tabSelected="1" zoomScale="80" zoomScaleNormal="80" zoomScaleSheetLayoutView="40" zoomScalePageLayoutView="0" workbookViewId="0" topLeftCell="A1">
      <pane xSplit="2" ySplit="4" topLeftCell="AS119" activePane="bottomRight" state="frozen"/>
      <selection pane="topLeft" activeCell="A1" sqref="A1"/>
      <selection pane="topRight" activeCell="C1" sqref="C1"/>
      <selection pane="bottomLeft" activeCell="A5" sqref="A5"/>
      <selection pane="bottomRight" activeCell="BQ21" sqref="BQ21"/>
    </sheetView>
  </sheetViews>
  <sheetFormatPr defaultColWidth="9.140625" defaultRowHeight="12.75" outlineLevelCol="1"/>
  <cols>
    <col min="1" max="1" width="2.140625" style="59" customWidth="1"/>
    <col min="2" max="2" width="48.7109375" style="59" customWidth="1"/>
    <col min="3" max="3" width="10.7109375" style="59" customWidth="1"/>
    <col min="4" max="8" width="10.7109375" style="59" customWidth="1" outlineLevel="1"/>
    <col min="9" max="9" width="8.7109375" style="59" customWidth="1" outlineLevel="1"/>
    <col min="10" max="11" width="10.7109375" style="59" customWidth="1" outlineLevel="1"/>
    <col min="12" max="15" width="10.7109375" style="59" customWidth="1"/>
    <col min="16" max="16" width="10.57421875" style="59" customWidth="1"/>
    <col min="17" max="17" width="8.7109375" style="112" customWidth="1"/>
    <col min="18" max="19" width="10.7109375" style="59" customWidth="1"/>
    <col min="20" max="24" width="10.7109375" style="59" customWidth="1" outlineLevel="1"/>
    <col min="25" max="25" width="8.7109375" style="59" customWidth="1" outlineLevel="1"/>
    <col min="26" max="27" width="9.7109375" style="59" customWidth="1" outlineLevel="1"/>
    <col min="28" max="32" width="9.7109375" style="59" customWidth="1"/>
    <col min="33" max="33" width="8.7109375" style="59" customWidth="1"/>
    <col min="34" max="34" width="10.00390625" style="59" customWidth="1"/>
    <col min="35" max="40" width="9.140625" style="59" customWidth="1"/>
    <col min="41" max="41" width="8.7109375" style="59" customWidth="1"/>
    <col min="42" max="43" width="9.28125" style="59" customWidth="1"/>
    <col min="44" max="44" width="9.421875" style="59" customWidth="1"/>
    <col min="45" max="45" width="9.28125" style="59" customWidth="1"/>
    <col min="46" max="46" width="9.8515625" style="59" customWidth="1"/>
    <col min="47" max="47" width="9.28125" style="59" customWidth="1"/>
    <col min="48" max="48" width="9.7109375" style="59" customWidth="1"/>
    <col min="49" max="49" width="9.421875" style="59" customWidth="1"/>
    <col min="50" max="50" width="11.00390625" style="59" customWidth="1"/>
    <col min="51" max="54" width="9.28125" style="59" customWidth="1"/>
    <col min="55" max="55" width="9.421875" style="59" customWidth="1"/>
    <col min="56" max="57" width="9.28125" style="59" customWidth="1"/>
    <col min="58" max="58" width="11.140625" style="59" customWidth="1"/>
    <col min="59" max="59" width="9.28125" style="59" bestFit="1" customWidth="1"/>
    <col min="60" max="61" width="9.28125" style="59" customWidth="1"/>
    <col min="62" max="62" width="3.140625" style="59" customWidth="1"/>
    <col min="63" max="63" width="9.421875" style="59" bestFit="1" customWidth="1"/>
    <col min="64" max="67" width="9.28125" style="59" bestFit="1" customWidth="1"/>
    <col min="68" max="68" width="9.28125" style="59" customWidth="1"/>
    <col min="69" max="69" width="9.28125" style="59" bestFit="1" customWidth="1"/>
    <col min="70" max="70" width="3.140625" style="59" customWidth="1"/>
    <col min="71" max="77" width="9.140625" style="59" customWidth="1"/>
    <col min="78" max="78" width="3.140625" style="59" customWidth="1"/>
    <col min="79" max="85" width="9.140625" style="59" customWidth="1"/>
    <col min="86" max="86" width="3.140625" style="59" customWidth="1"/>
    <col min="87" max="88" width="9.140625" style="59" customWidth="1"/>
    <col min="89" max="89" width="10.57421875" style="59" bestFit="1" customWidth="1"/>
    <col min="90" max="16384" width="9.140625" style="59" customWidth="1"/>
  </cols>
  <sheetData>
    <row r="1" s="48" customFormat="1" ht="12.75">
      <c r="Q1" s="71"/>
    </row>
    <row r="2" spans="1:63" s="51" customFormat="1" ht="15.75">
      <c r="A2" s="49"/>
      <c r="B2" s="142" t="s">
        <v>122</v>
      </c>
      <c r="D2" s="49"/>
      <c r="E2" s="49"/>
      <c r="F2" s="49"/>
      <c r="G2" s="49"/>
      <c r="H2" s="50"/>
      <c r="I2" s="49"/>
      <c r="L2" s="52"/>
      <c r="Q2" s="99"/>
      <c r="BC2" s="190"/>
      <c r="BK2" s="190"/>
    </row>
    <row r="3" spans="12:77" s="51" customFormat="1" ht="12.75">
      <c r="L3" s="826" t="s">
        <v>254</v>
      </c>
      <c r="M3" s="827"/>
      <c r="N3" s="827"/>
      <c r="O3" s="827"/>
      <c r="P3" s="827"/>
      <c r="Q3" s="827"/>
      <c r="R3" s="827"/>
      <c r="AB3" s="826" t="s">
        <v>254</v>
      </c>
      <c r="AC3" s="827"/>
      <c r="AD3" s="827"/>
      <c r="AE3" s="827"/>
      <c r="AF3" s="827"/>
      <c r="AG3" s="827"/>
      <c r="AH3" s="827"/>
      <c r="BC3" s="293"/>
      <c r="BD3" s="293"/>
      <c r="BE3" s="293"/>
      <c r="BF3" s="293"/>
      <c r="BG3" s="293"/>
      <c r="BH3" s="293"/>
      <c r="BI3" s="293"/>
      <c r="BS3" s="293"/>
      <c r="BT3" s="293"/>
      <c r="BU3" s="293"/>
      <c r="BV3" s="293"/>
      <c r="BW3" s="293"/>
      <c r="BX3" s="293"/>
      <c r="BY3" s="293"/>
    </row>
    <row r="4" spans="2:58" s="53" customFormat="1" ht="17.25" customHeight="1">
      <c r="B4" s="148" t="s">
        <v>218</v>
      </c>
      <c r="D4" s="451" t="s">
        <v>232</v>
      </c>
      <c r="E4" s="452" t="s">
        <v>233</v>
      </c>
      <c r="F4" s="452" t="s">
        <v>234</v>
      </c>
      <c r="G4" s="452" t="s">
        <v>235</v>
      </c>
      <c r="H4" s="452" t="s">
        <v>236</v>
      </c>
      <c r="I4" s="452" t="s">
        <v>237</v>
      </c>
      <c r="J4" s="453" t="s">
        <v>238</v>
      </c>
      <c r="L4" s="451" t="s">
        <v>232</v>
      </c>
      <c r="M4" s="452" t="s">
        <v>233</v>
      </c>
      <c r="N4" s="452" t="s">
        <v>234</v>
      </c>
      <c r="O4" s="452" t="s">
        <v>235</v>
      </c>
      <c r="P4" s="452" t="s">
        <v>236</v>
      </c>
      <c r="Q4" s="452" t="s">
        <v>237</v>
      </c>
      <c r="R4" s="453" t="s">
        <v>238</v>
      </c>
      <c r="T4" s="451" t="s">
        <v>247</v>
      </c>
      <c r="U4" s="452" t="s">
        <v>248</v>
      </c>
      <c r="V4" s="452" t="s">
        <v>249</v>
      </c>
      <c r="W4" s="452" t="s">
        <v>250</v>
      </c>
      <c r="X4" s="452" t="s">
        <v>251</v>
      </c>
      <c r="Y4" s="452" t="s">
        <v>252</v>
      </c>
      <c r="Z4" s="453" t="s">
        <v>253</v>
      </c>
      <c r="AB4" s="451" t="s">
        <v>247</v>
      </c>
      <c r="AC4" s="452" t="s">
        <v>248</v>
      </c>
      <c r="AD4" s="452" t="s">
        <v>249</v>
      </c>
      <c r="AE4" s="452" t="s">
        <v>250</v>
      </c>
      <c r="AF4" s="452" t="s">
        <v>251</v>
      </c>
      <c r="AG4" s="452" t="s">
        <v>252</v>
      </c>
      <c r="AH4" s="453" t="s">
        <v>253</v>
      </c>
      <c r="AJ4" s="451" t="s">
        <v>284</v>
      </c>
      <c r="AK4" s="452" t="s">
        <v>285</v>
      </c>
      <c r="AL4" s="452" t="s">
        <v>286</v>
      </c>
      <c r="AM4" s="452" t="s">
        <v>287</v>
      </c>
      <c r="AN4" s="452" t="s">
        <v>288</v>
      </c>
      <c r="AO4" s="452" t="s">
        <v>289</v>
      </c>
      <c r="AP4" s="453" t="s">
        <v>290</v>
      </c>
      <c r="AR4" s="451" t="s">
        <v>295</v>
      </c>
      <c r="AS4" s="452" t="s">
        <v>296</v>
      </c>
      <c r="AT4" s="452" t="s">
        <v>385</v>
      </c>
      <c r="AU4" s="452" t="s">
        <v>298</v>
      </c>
      <c r="AV4" s="452" t="s">
        <v>299</v>
      </c>
      <c r="AW4" s="452" t="s">
        <v>300</v>
      </c>
      <c r="AX4" s="453" t="s">
        <v>371</v>
      </c>
      <c r="AZ4" s="451" t="s">
        <v>537</v>
      </c>
      <c r="BA4" s="452" t="s">
        <v>539</v>
      </c>
      <c r="BB4" s="452" t="s">
        <v>545</v>
      </c>
      <c r="BC4" s="452" t="s">
        <v>540</v>
      </c>
      <c r="BD4" s="452" t="s">
        <v>541</v>
      </c>
      <c r="BE4" s="452" t="s">
        <v>542</v>
      </c>
      <c r="BF4" s="453" t="s">
        <v>543</v>
      </c>
    </row>
    <row r="5" spans="2:58" s="53" customFormat="1" ht="15" customHeight="1">
      <c r="B5" s="149"/>
      <c r="D5" s="294"/>
      <c r="E5" s="295"/>
      <c r="F5" s="295"/>
      <c r="G5" s="295"/>
      <c r="H5" s="295"/>
      <c r="I5" s="295"/>
      <c r="J5" s="296"/>
      <c r="L5" s="159"/>
      <c r="R5" s="160"/>
      <c r="T5" s="159"/>
      <c r="Z5" s="160"/>
      <c r="AB5" s="159"/>
      <c r="AH5" s="160"/>
      <c r="AJ5" s="159"/>
      <c r="AP5" s="160"/>
      <c r="AR5" s="203"/>
      <c r="AS5" s="204"/>
      <c r="AT5" s="204"/>
      <c r="AU5" s="204"/>
      <c r="AV5" s="204"/>
      <c r="AW5" s="204"/>
      <c r="AX5" s="205"/>
      <c r="AZ5" s="203"/>
      <c r="BA5" s="204"/>
      <c r="BB5" s="204"/>
      <c r="BC5" s="204"/>
      <c r="BD5" s="204"/>
      <c r="BE5" s="204"/>
      <c r="BF5" s="205"/>
    </row>
    <row r="6" spans="2:58" s="53" customFormat="1" ht="13.5" customHeight="1">
      <c r="B6" s="150" t="s">
        <v>123</v>
      </c>
      <c r="D6" s="246">
        <v>1804</v>
      </c>
      <c r="E6" s="54">
        <f>+F6-D6</f>
        <v>1827</v>
      </c>
      <c r="F6" s="245">
        <v>3631</v>
      </c>
      <c r="G6" s="54">
        <f>+H6-F6</f>
        <v>1791</v>
      </c>
      <c r="H6" s="245">
        <v>5422</v>
      </c>
      <c r="I6" s="54">
        <f>+J6-H6</f>
        <v>1897</v>
      </c>
      <c r="J6" s="272">
        <v>7319</v>
      </c>
      <c r="L6" s="246">
        <v>1756</v>
      </c>
      <c r="M6" s="54">
        <f>+N6-L6</f>
        <v>1787</v>
      </c>
      <c r="N6" s="245">
        <v>3543</v>
      </c>
      <c r="O6" s="54">
        <f>+P6-N6</f>
        <v>1737</v>
      </c>
      <c r="P6" s="245">
        <v>5280</v>
      </c>
      <c r="Q6" s="54">
        <f>+R6-P6</f>
        <v>1882</v>
      </c>
      <c r="R6" s="272">
        <v>7162</v>
      </c>
      <c r="T6" s="246">
        <v>2245</v>
      </c>
      <c r="U6" s="54">
        <f>+V6-T6</f>
        <v>1766</v>
      </c>
      <c r="V6" s="245">
        <v>4011</v>
      </c>
      <c r="W6" s="54">
        <f>+X6-V6</f>
        <v>1889</v>
      </c>
      <c r="X6" s="245">
        <v>5900</v>
      </c>
      <c r="Y6" s="54">
        <f>+Z6-X6</f>
        <v>1959</v>
      </c>
      <c r="Z6" s="272">
        <v>7859</v>
      </c>
      <c r="AB6" s="246">
        <v>2115</v>
      </c>
      <c r="AC6" s="54">
        <f>+AD6-AB6</f>
        <v>1754</v>
      </c>
      <c r="AD6" s="245">
        <v>3869</v>
      </c>
      <c r="AE6" s="54">
        <f>+AF6-AD6</f>
        <v>1912</v>
      </c>
      <c r="AF6" s="245">
        <v>5781</v>
      </c>
      <c r="AG6" s="54">
        <f>+AH6-AF6</f>
        <v>2078</v>
      </c>
      <c r="AH6" s="272">
        <v>7859</v>
      </c>
      <c r="AJ6" s="246">
        <v>1703</v>
      </c>
      <c r="AK6" s="54">
        <f>+AL6-AJ6</f>
        <v>1581</v>
      </c>
      <c r="AL6" s="245">
        <v>3284</v>
      </c>
      <c r="AM6" s="54">
        <f>+AN6-AL6</f>
        <v>1713</v>
      </c>
      <c r="AN6" s="245">
        <v>4997</v>
      </c>
      <c r="AO6" s="54">
        <f>+AP6-AN6</f>
        <v>1532</v>
      </c>
      <c r="AP6" s="272">
        <v>6529</v>
      </c>
      <c r="AR6" s="246">
        <v>1361</v>
      </c>
      <c r="AS6" s="54">
        <f>+AT6-AR6</f>
        <v>1289</v>
      </c>
      <c r="AT6" s="245">
        <v>2650</v>
      </c>
      <c r="AU6" s="54">
        <f>+AV6-AT6</f>
        <v>1413</v>
      </c>
      <c r="AV6" s="245">
        <v>4063</v>
      </c>
      <c r="AW6" s="54">
        <f>+AX6-AV6</f>
        <v>1619</v>
      </c>
      <c r="AX6" s="272">
        <v>5682</v>
      </c>
      <c r="AZ6" s="246">
        <v>1387</v>
      </c>
      <c r="BA6" s="54">
        <f>+BB6-AZ6</f>
        <v>1157</v>
      </c>
      <c r="BB6" s="245">
        <v>2544</v>
      </c>
      <c r="BC6" s="54">
        <f>+BD6-BB6</f>
        <v>1317</v>
      </c>
      <c r="BD6" s="245">
        <v>3861</v>
      </c>
      <c r="BE6" s="54">
        <f aca="true" t="shared" si="0" ref="BE6:BE12">+BF6-BD6</f>
        <v>-3861</v>
      </c>
      <c r="BF6" s="272"/>
    </row>
    <row r="7" spans="2:58" s="53" customFormat="1" ht="13.5" customHeight="1">
      <c r="B7" s="150" t="s">
        <v>124</v>
      </c>
      <c r="D7" s="246">
        <v>1846</v>
      </c>
      <c r="E7" s="54">
        <f>+F7-D7</f>
        <v>1201</v>
      </c>
      <c r="F7" s="245">
        <v>3047</v>
      </c>
      <c r="G7" s="54">
        <f>+H7-F7</f>
        <v>1299</v>
      </c>
      <c r="H7" s="245">
        <v>4346</v>
      </c>
      <c r="I7" s="54">
        <f>+J7-H7</f>
        <v>1526</v>
      </c>
      <c r="J7" s="272">
        <v>5872</v>
      </c>
      <c r="L7" s="246">
        <v>1845</v>
      </c>
      <c r="M7" s="54">
        <f>+N7-L7</f>
        <v>1202</v>
      </c>
      <c r="N7" s="245">
        <v>3047</v>
      </c>
      <c r="O7" s="54">
        <f>+P7-N7</f>
        <v>1299</v>
      </c>
      <c r="P7" s="245">
        <v>4346</v>
      </c>
      <c r="Q7" s="54">
        <f>+R7-P7</f>
        <v>1652</v>
      </c>
      <c r="R7" s="272">
        <v>5998</v>
      </c>
      <c r="T7" s="246">
        <v>1495</v>
      </c>
      <c r="U7" s="54">
        <f>+V7-T7</f>
        <v>929</v>
      </c>
      <c r="V7" s="245">
        <v>2424</v>
      </c>
      <c r="W7" s="54">
        <f>+X7-V7</f>
        <v>981</v>
      </c>
      <c r="X7" s="245">
        <v>3405</v>
      </c>
      <c r="Y7" s="54">
        <f>+Z7-X7</f>
        <v>1763</v>
      </c>
      <c r="Z7" s="272">
        <v>5168</v>
      </c>
      <c r="AB7" s="246">
        <v>1566</v>
      </c>
      <c r="AC7" s="54">
        <f>+AD7-AB7</f>
        <v>1019</v>
      </c>
      <c r="AD7" s="245">
        <v>2585</v>
      </c>
      <c r="AE7" s="54">
        <f>+AF7-AD7</f>
        <v>1075</v>
      </c>
      <c r="AF7" s="245">
        <v>3660</v>
      </c>
      <c r="AG7" s="54">
        <f>+AH7-AF7</f>
        <v>1508</v>
      </c>
      <c r="AH7" s="272">
        <v>5168</v>
      </c>
      <c r="AJ7" s="246">
        <v>1676</v>
      </c>
      <c r="AK7" s="54">
        <f>+AL7-AJ7</f>
        <v>1041</v>
      </c>
      <c r="AL7" s="245">
        <v>2717</v>
      </c>
      <c r="AM7" s="54">
        <f>+AN7-AL7</f>
        <v>1156</v>
      </c>
      <c r="AN7" s="245">
        <v>3873</v>
      </c>
      <c r="AO7" s="54">
        <f>+AP7-AN7</f>
        <v>1639</v>
      </c>
      <c r="AP7" s="272">
        <v>5512</v>
      </c>
      <c r="AR7" s="246">
        <v>1836</v>
      </c>
      <c r="AS7" s="54">
        <f>+AT7-AR7</f>
        <v>1275</v>
      </c>
      <c r="AT7" s="245">
        <v>3111</v>
      </c>
      <c r="AU7" s="54">
        <f>+AV7-AT7</f>
        <v>1251</v>
      </c>
      <c r="AV7" s="245">
        <v>4362</v>
      </c>
      <c r="AW7" s="54">
        <f aca="true" t="shared" si="1" ref="AW7:AW41">+AX7-AV7</f>
        <v>1669</v>
      </c>
      <c r="AX7" s="272">
        <v>6031</v>
      </c>
      <c r="AZ7" s="246">
        <v>1636</v>
      </c>
      <c r="BA7" s="54">
        <f>+BB7-AZ7</f>
        <v>1185</v>
      </c>
      <c r="BB7" s="245">
        <v>2821</v>
      </c>
      <c r="BC7" s="54">
        <f>+BD7-BB7</f>
        <v>1114</v>
      </c>
      <c r="BD7" s="245">
        <v>3935</v>
      </c>
      <c r="BE7" s="54">
        <f t="shared" si="0"/>
        <v>-3935</v>
      </c>
      <c r="BF7" s="272"/>
    </row>
    <row r="8" spans="2:58" s="53" customFormat="1" ht="13.5" customHeight="1">
      <c r="B8" s="150" t="s">
        <v>125</v>
      </c>
      <c r="D8" s="246">
        <v>12</v>
      </c>
      <c r="E8" s="54">
        <f>+F8-D8</f>
        <v>12</v>
      </c>
      <c r="F8" s="245">
        <v>24</v>
      </c>
      <c r="G8" s="54">
        <f>+H8-F8</f>
        <v>13</v>
      </c>
      <c r="H8" s="245">
        <v>37</v>
      </c>
      <c r="I8" s="54">
        <f>+J8-H8</f>
        <v>15</v>
      </c>
      <c r="J8" s="272">
        <v>52</v>
      </c>
      <c r="L8" s="246">
        <v>12</v>
      </c>
      <c r="M8" s="54">
        <f>+N8-L8</f>
        <v>12</v>
      </c>
      <c r="N8" s="245">
        <v>24</v>
      </c>
      <c r="O8" s="54">
        <f>+P8-N8</f>
        <v>13</v>
      </c>
      <c r="P8" s="245">
        <v>37</v>
      </c>
      <c r="Q8" s="54">
        <f>+R8-P8</f>
        <v>15</v>
      </c>
      <c r="R8" s="272">
        <v>52</v>
      </c>
      <c r="T8" s="246">
        <v>12</v>
      </c>
      <c r="U8" s="54">
        <f>+V8-T8</f>
        <v>11</v>
      </c>
      <c r="V8" s="245">
        <v>23</v>
      </c>
      <c r="W8" s="54">
        <f>+X8-V8</f>
        <v>12</v>
      </c>
      <c r="X8" s="245">
        <v>35</v>
      </c>
      <c r="Y8" s="54">
        <f>+Z8-X8</f>
        <v>13</v>
      </c>
      <c r="Z8" s="272">
        <v>48</v>
      </c>
      <c r="AB8" s="246">
        <v>12</v>
      </c>
      <c r="AC8" s="54">
        <f>+AD8-AB8</f>
        <v>11</v>
      </c>
      <c r="AD8" s="245">
        <v>23</v>
      </c>
      <c r="AE8" s="54">
        <f>+AF8-AD8</f>
        <v>12</v>
      </c>
      <c r="AF8" s="245">
        <v>35</v>
      </c>
      <c r="AG8" s="54">
        <f>+AH8-AF8</f>
        <v>13</v>
      </c>
      <c r="AH8" s="272">
        <v>48</v>
      </c>
      <c r="AJ8" s="246">
        <v>12</v>
      </c>
      <c r="AK8" s="54">
        <f>+AL8-AJ8</f>
        <v>12</v>
      </c>
      <c r="AL8" s="245">
        <v>24</v>
      </c>
      <c r="AM8" s="54">
        <f>+AN8-AL8</f>
        <v>12</v>
      </c>
      <c r="AN8" s="245">
        <v>36</v>
      </c>
      <c r="AO8" s="54">
        <f>+AP8-AN8</f>
        <v>13</v>
      </c>
      <c r="AP8" s="272">
        <v>49</v>
      </c>
      <c r="AR8" s="246">
        <v>12</v>
      </c>
      <c r="AS8" s="54">
        <f>+AT8-AR8</f>
        <v>13</v>
      </c>
      <c r="AT8" s="245">
        <v>25</v>
      </c>
      <c r="AU8" s="54">
        <f>+AV8-AT8</f>
        <v>12</v>
      </c>
      <c r="AV8" s="245">
        <v>37</v>
      </c>
      <c r="AW8" s="54">
        <f t="shared" si="1"/>
        <v>14</v>
      </c>
      <c r="AX8" s="272">
        <v>51</v>
      </c>
      <c r="AZ8" s="246">
        <v>12</v>
      </c>
      <c r="BA8" s="54">
        <f>+BB8-AZ8</f>
        <v>12</v>
      </c>
      <c r="BB8" s="245">
        <v>24</v>
      </c>
      <c r="BC8" s="54">
        <f>+BD8-BB8</f>
        <v>12</v>
      </c>
      <c r="BD8" s="245">
        <v>36</v>
      </c>
      <c r="BE8" s="54">
        <f t="shared" si="0"/>
        <v>-36</v>
      </c>
      <c r="BF8" s="272"/>
    </row>
    <row r="9" spans="2:58" s="53" customFormat="1" ht="13.5" customHeight="1">
      <c r="B9" s="150" t="s">
        <v>126</v>
      </c>
      <c r="D9" s="246">
        <v>-288</v>
      </c>
      <c r="E9" s="54">
        <f>+F9-D9</f>
        <v>-166</v>
      </c>
      <c r="F9" s="245">
        <v>-454</v>
      </c>
      <c r="G9" s="54">
        <f>+H9-F9</f>
        <v>-215</v>
      </c>
      <c r="H9" s="245">
        <v>-669</v>
      </c>
      <c r="I9" s="54">
        <f>+J9-H9</f>
        <v>-239</v>
      </c>
      <c r="J9" s="272">
        <v>-908</v>
      </c>
      <c r="L9" s="246">
        <v>-288</v>
      </c>
      <c r="M9" s="54">
        <f>+N9-L9</f>
        <v>-166</v>
      </c>
      <c r="N9" s="245">
        <v>-454</v>
      </c>
      <c r="O9" s="54">
        <f>+P9-N9</f>
        <v>-215</v>
      </c>
      <c r="P9" s="245">
        <v>-669</v>
      </c>
      <c r="Q9" s="54">
        <f>+R9-P9</f>
        <v>-239</v>
      </c>
      <c r="R9" s="272">
        <v>-908</v>
      </c>
      <c r="T9" s="246">
        <v>-215</v>
      </c>
      <c r="U9" s="54">
        <f>+V9-T9</f>
        <v>-151</v>
      </c>
      <c r="V9" s="245">
        <v>-366</v>
      </c>
      <c r="W9" s="54">
        <f>+X9-V9</f>
        <v>-180</v>
      </c>
      <c r="X9" s="245">
        <v>-546</v>
      </c>
      <c r="Y9" s="54">
        <f>+Z9-X9</f>
        <v>-204</v>
      </c>
      <c r="Z9" s="272">
        <v>-750</v>
      </c>
      <c r="AB9" s="246">
        <v>-215</v>
      </c>
      <c r="AC9" s="54">
        <f>+AD9-AB9</f>
        <v>-151</v>
      </c>
      <c r="AD9" s="245">
        <v>-366</v>
      </c>
      <c r="AE9" s="54">
        <f>+AF9-AD9</f>
        <v>-180</v>
      </c>
      <c r="AF9" s="245">
        <v>-546</v>
      </c>
      <c r="AG9" s="54">
        <f>+AH9-AF9</f>
        <v>-204</v>
      </c>
      <c r="AH9" s="272">
        <v>-750</v>
      </c>
      <c r="AJ9" s="246">
        <v>-244</v>
      </c>
      <c r="AK9" s="54">
        <f>+AL9-AJ9</f>
        <v>-162</v>
      </c>
      <c r="AL9" s="245">
        <v>-406</v>
      </c>
      <c r="AM9" s="54">
        <f>+AN9-AL9</f>
        <v>-191</v>
      </c>
      <c r="AN9" s="245">
        <v>-597</v>
      </c>
      <c r="AO9" s="54">
        <f>+AP9-AN9</f>
        <v>-180</v>
      </c>
      <c r="AP9" s="272">
        <v>-777</v>
      </c>
      <c r="AR9" s="246">
        <v>-183</v>
      </c>
      <c r="AS9" s="54">
        <f>+AT9-AR9</f>
        <v>-135</v>
      </c>
      <c r="AT9" s="245">
        <v>-318</v>
      </c>
      <c r="AU9" s="54">
        <f>+AV9-AT9</f>
        <v>-170</v>
      </c>
      <c r="AV9" s="245">
        <v>-488</v>
      </c>
      <c r="AW9" s="54">
        <f t="shared" si="1"/>
        <v>-242</v>
      </c>
      <c r="AX9" s="272">
        <v>-730</v>
      </c>
      <c r="AZ9" s="246">
        <v>-237</v>
      </c>
      <c r="BA9" s="54">
        <f>+BB9-AZ9</f>
        <v>-184</v>
      </c>
      <c r="BB9" s="245">
        <v>-421</v>
      </c>
      <c r="BC9" s="54">
        <f>+BD9-BB9</f>
        <v>-196</v>
      </c>
      <c r="BD9" s="245">
        <v>-617</v>
      </c>
      <c r="BE9" s="54">
        <f t="shared" si="0"/>
        <v>617</v>
      </c>
      <c r="BF9" s="272"/>
    </row>
    <row r="10" spans="2:58" s="55" customFormat="1" ht="13.5" customHeight="1">
      <c r="B10" s="151" t="s">
        <v>154</v>
      </c>
      <c r="D10" s="165">
        <f>+D6+D7+D8+D9</f>
        <v>3374</v>
      </c>
      <c r="E10" s="56">
        <f aca="true" t="shared" si="2" ref="E10:J10">+E6+E7+E8+E9</f>
        <v>2874</v>
      </c>
      <c r="F10" s="56">
        <f t="shared" si="2"/>
        <v>6248</v>
      </c>
      <c r="G10" s="56">
        <f t="shared" si="2"/>
        <v>2888</v>
      </c>
      <c r="H10" s="56">
        <f t="shared" si="2"/>
        <v>9136</v>
      </c>
      <c r="I10" s="24">
        <f t="shared" si="2"/>
        <v>3199</v>
      </c>
      <c r="J10" s="144">
        <f t="shared" si="2"/>
        <v>12335</v>
      </c>
      <c r="L10" s="165">
        <f aca="true" t="shared" si="3" ref="L10:R10">+L6+L7+L8+L9</f>
        <v>3325</v>
      </c>
      <c r="M10" s="56">
        <f t="shared" si="3"/>
        <v>2835</v>
      </c>
      <c r="N10" s="56">
        <f t="shared" si="3"/>
        <v>6160</v>
      </c>
      <c r="O10" s="56">
        <f t="shared" si="3"/>
        <v>2834</v>
      </c>
      <c r="P10" s="56">
        <f t="shared" si="3"/>
        <v>8994</v>
      </c>
      <c r="Q10" s="24">
        <f t="shared" si="3"/>
        <v>3310</v>
      </c>
      <c r="R10" s="144">
        <f t="shared" si="3"/>
        <v>12304</v>
      </c>
      <c r="T10" s="165">
        <f aca="true" t="shared" si="4" ref="T10:Z10">+T6+T7+T8+T9</f>
        <v>3537</v>
      </c>
      <c r="U10" s="56">
        <f t="shared" si="4"/>
        <v>2555</v>
      </c>
      <c r="V10" s="56">
        <f t="shared" si="4"/>
        <v>6092</v>
      </c>
      <c r="W10" s="56">
        <f t="shared" si="4"/>
        <v>2702</v>
      </c>
      <c r="X10" s="56">
        <f t="shared" si="4"/>
        <v>8794</v>
      </c>
      <c r="Y10" s="24">
        <f t="shared" si="4"/>
        <v>3531</v>
      </c>
      <c r="Z10" s="144">
        <f t="shared" si="4"/>
        <v>12325</v>
      </c>
      <c r="AB10" s="165">
        <f aca="true" t="shared" si="5" ref="AB10:AH10">+AB6+AB7+AB8+AB9</f>
        <v>3478</v>
      </c>
      <c r="AC10" s="56">
        <f t="shared" si="5"/>
        <v>2633</v>
      </c>
      <c r="AD10" s="56">
        <f t="shared" si="5"/>
        <v>6111</v>
      </c>
      <c r="AE10" s="56">
        <f t="shared" si="5"/>
        <v>2819</v>
      </c>
      <c r="AF10" s="56">
        <f t="shared" si="5"/>
        <v>8930</v>
      </c>
      <c r="AG10" s="24">
        <f t="shared" si="5"/>
        <v>3395</v>
      </c>
      <c r="AH10" s="144">
        <f t="shared" si="5"/>
        <v>12325</v>
      </c>
      <c r="AJ10" s="165">
        <f aca="true" t="shared" si="6" ref="AJ10:AP10">+AJ6+AJ7+AJ8+AJ9</f>
        <v>3147</v>
      </c>
      <c r="AK10" s="56">
        <f t="shared" si="6"/>
        <v>2472</v>
      </c>
      <c r="AL10" s="56">
        <f t="shared" si="6"/>
        <v>5619</v>
      </c>
      <c r="AM10" s="56">
        <f t="shared" si="6"/>
        <v>2690</v>
      </c>
      <c r="AN10" s="56">
        <f t="shared" si="6"/>
        <v>8309</v>
      </c>
      <c r="AO10" s="24">
        <f t="shared" si="6"/>
        <v>3004</v>
      </c>
      <c r="AP10" s="144">
        <f t="shared" si="6"/>
        <v>11313</v>
      </c>
      <c r="AR10" s="165">
        <f>+AR6+AR7+AR8+AR9</f>
        <v>3026</v>
      </c>
      <c r="AS10" s="56">
        <f>+AS6+AS7+AS8+AS9</f>
        <v>2442</v>
      </c>
      <c r="AT10" s="56">
        <f>+AT6+AT7+AT8+AT9</f>
        <v>5468</v>
      </c>
      <c r="AU10" s="56">
        <f>+AU6+AU7+AU8+AU9</f>
        <v>2506</v>
      </c>
      <c r="AV10" s="56">
        <f>+AV6+AV7+AV8+AV9</f>
        <v>7974</v>
      </c>
      <c r="AW10" s="24">
        <f t="shared" si="1"/>
        <v>3060</v>
      </c>
      <c r="AX10" s="144">
        <f>+AX6+AX7+AX8+AX9</f>
        <v>11034</v>
      </c>
      <c r="AZ10" s="165">
        <f>+SUM(AZ6:AZ9)</f>
        <v>2798</v>
      </c>
      <c r="BA10" s="56">
        <f>+BA6+BA7+BA8+BA9</f>
        <v>2170</v>
      </c>
      <c r="BB10" s="56">
        <f>+BB6+BB7+BB8+BB9</f>
        <v>4968</v>
      </c>
      <c r="BC10" s="56">
        <f>+BC6+BC7+BC8+BC9</f>
        <v>2247</v>
      </c>
      <c r="BD10" s="24">
        <f>+BD6+BD7+BD8+BD9</f>
        <v>7215</v>
      </c>
      <c r="BE10" s="24">
        <f t="shared" si="0"/>
        <v>-7215</v>
      </c>
      <c r="BF10" s="144">
        <f>+BF6+BF7+BF8+BF9</f>
        <v>0</v>
      </c>
    </row>
    <row r="11" spans="1:58" s="60" customFormat="1" ht="13.5" customHeight="1">
      <c r="A11" s="59"/>
      <c r="B11" s="152" t="s">
        <v>97</v>
      </c>
      <c r="D11" s="248">
        <v>85</v>
      </c>
      <c r="E11" s="54">
        <f>+F11-D11</f>
        <v>383</v>
      </c>
      <c r="F11" s="247">
        <v>468</v>
      </c>
      <c r="G11" s="54">
        <f>+H11-F11</f>
        <v>112</v>
      </c>
      <c r="H11" s="247">
        <v>580</v>
      </c>
      <c r="I11" s="54">
        <f>+J11-H11</f>
        <v>135</v>
      </c>
      <c r="J11" s="272">
        <v>715</v>
      </c>
      <c r="L11" s="248">
        <v>85</v>
      </c>
      <c r="M11" s="54">
        <f>+N11-L11</f>
        <v>382</v>
      </c>
      <c r="N11" s="247">
        <v>467</v>
      </c>
      <c r="O11" s="54">
        <f>+P11-N11</f>
        <v>111</v>
      </c>
      <c r="P11" s="247">
        <v>578</v>
      </c>
      <c r="Q11" s="54">
        <f>+R11-P11</f>
        <v>-48</v>
      </c>
      <c r="R11" s="272">
        <v>530</v>
      </c>
      <c r="T11" s="248">
        <v>126</v>
      </c>
      <c r="U11" s="54">
        <f>+V11-T11</f>
        <v>150</v>
      </c>
      <c r="V11" s="247">
        <v>276</v>
      </c>
      <c r="W11" s="54">
        <f>+X11-V11</f>
        <v>194</v>
      </c>
      <c r="X11" s="247">
        <v>470</v>
      </c>
      <c r="Y11" s="54">
        <f>+Z11-X11</f>
        <v>-215</v>
      </c>
      <c r="Z11" s="272">
        <v>255</v>
      </c>
      <c r="AB11" s="248">
        <v>43</v>
      </c>
      <c r="AC11" s="54">
        <f>+AD11-AB11</f>
        <v>53</v>
      </c>
      <c r="AD11" s="247">
        <v>96</v>
      </c>
      <c r="AE11" s="54">
        <f>+AF11-AD11</f>
        <v>97</v>
      </c>
      <c r="AF11" s="247">
        <v>193</v>
      </c>
      <c r="AG11" s="54">
        <f>+AH11-AF11</f>
        <v>62</v>
      </c>
      <c r="AH11" s="272">
        <v>255</v>
      </c>
      <c r="AJ11" s="248">
        <v>31</v>
      </c>
      <c r="AK11" s="54">
        <f>+AL11-AJ11</f>
        <v>39</v>
      </c>
      <c r="AL11" s="247">
        <v>70</v>
      </c>
      <c r="AM11" s="54">
        <f>+AN11-AL11</f>
        <v>31</v>
      </c>
      <c r="AN11" s="247">
        <v>101</v>
      </c>
      <c r="AO11" s="54">
        <f>+AP11-AN11</f>
        <v>703</v>
      </c>
      <c r="AP11" s="272">
        <v>804</v>
      </c>
      <c r="AR11" s="248">
        <v>20</v>
      </c>
      <c r="AS11" s="54">
        <f>+AT11-AR11</f>
        <v>76</v>
      </c>
      <c r="AT11" s="247">
        <v>96</v>
      </c>
      <c r="AU11" s="54">
        <f>+AV11-AT11</f>
        <v>55</v>
      </c>
      <c r="AV11" s="247">
        <v>151</v>
      </c>
      <c r="AW11" s="54">
        <f t="shared" si="1"/>
        <v>81</v>
      </c>
      <c r="AX11" s="272">
        <v>232</v>
      </c>
      <c r="AZ11" s="248">
        <v>38</v>
      </c>
      <c r="BA11" s="54">
        <f>+BB11-AZ11</f>
        <v>27</v>
      </c>
      <c r="BB11" s="247">
        <v>65</v>
      </c>
      <c r="BC11" s="54">
        <f>+BD11-BB11</f>
        <v>32</v>
      </c>
      <c r="BD11" s="247">
        <v>97</v>
      </c>
      <c r="BE11" s="54">
        <f t="shared" si="0"/>
        <v>-97</v>
      </c>
      <c r="BF11" s="272"/>
    </row>
    <row r="12" spans="1:58" ht="12.75" customHeight="1">
      <c r="A12" s="60"/>
      <c r="B12" s="153" t="s">
        <v>155</v>
      </c>
      <c r="D12" s="91">
        <f>+D10+D11</f>
        <v>3459</v>
      </c>
      <c r="E12" s="40">
        <f>+E10+E11</f>
        <v>3257</v>
      </c>
      <c r="F12" s="40">
        <f>+F10+F11</f>
        <v>6716</v>
      </c>
      <c r="G12" s="40">
        <f>+G10+G11</f>
        <v>3000</v>
      </c>
      <c r="H12" s="40">
        <f>+H10+H11</f>
        <v>9716</v>
      </c>
      <c r="I12" s="24">
        <f>+J12-H12</f>
        <v>3334</v>
      </c>
      <c r="J12" s="92">
        <f>+J10+J11</f>
        <v>13050</v>
      </c>
      <c r="L12" s="91">
        <f aca="true" t="shared" si="7" ref="L12:R12">+L10+L11</f>
        <v>3410</v>
      </c>
      <c r="M12" s="40">
        <f t="shared" si="7"/>
        <v>3217</v>
      </c>
      <c r="N12" s="40">
        <f t="shared" si="7"/>
        <v>6627</v>
      </c>
      <c r="O12" s="40">
        <f t="shared" si="7"/>
        <v>2945</v>
      </c>
      <c r="P12" s="40">
        <f t="shared" si="7"/>
        <v>9572</v>
      </c>
      <c r="Q12" s="24">
        <f t="shared" si="7"/>
        <v>3262</v>
      </c>
      <c r="R12" s="92">
        <f t="shared" si="7"/>
        <v>12834</v>
      </c>
      <c r="T12" s="91">
        <f aca="true" t="shared" si="8" ref="T12:Z12">+T10+T11</f>
        <v>3663</v>
      </c>
      <c r="U12" s="40">
        <f t="shared" si="8"/>
        <v>2705</v>
      </c>
      <c r="V12" s="40">
        <f t="shared" si="8"/>
        <v>6368</v>
      </c>
      <c r="W12" s="40">
        <f t="shared" si="8"/>
        <v>2896</v>
      </c>
      <c r="X12" s="40">
        <f t="shared" si="8"/>
        <v>9264</v>
      </c>
      <c r="Y12" s="24">
        <f t="shared" si="8"/>
        <v>3316</v>
      </c>
      <c r="Z12" s="92">
        <f t="shared" si="8"/>
        <v>12580</v>
      </c>
      <c r="AB12" s="91">
        <f aca="true" t="shared" si="9" ref="AB12:AH12">+AB10+AB11</f>
        <v>3521</v>
      </c>
      <c r="AC12" s="40">
        <f t="shared" si="9"/>
        <v>2686</v>
      </c>
      <c r="AD12" s="40">
        <f t="shared" si="9"/>
        <v>6207</v>
      </c>
      <c r="AE12" s="40">
        <f t="shared" si="9"/>
        <v>2916</v>
      </c>
      <c r="AF12" s="40">
        <f t="shared" si="9"/>
        <v>9123</v>
      </c>
      <c r="AG12" s="24">
        <f t="shared" si="9"/>
        <v>3457</v>
      </c>
      <c r="AH12" s="92">
        <f t="shared" si="9"/>
        <v>12580</v>
      </c>
      <c r="AJ12" s="91">
        <f aca="true" t="shared" si="10" ref="AJ12:AP12">+AJ10+AJ11</f>
        <v>3178</v>
      </c>
      <c r="AK12" s="40">
        <f t="shared" si="10"/>
        <v>2511</v>
      </c>
      <c r="AL12" s="40">
        <f t="shared" si="10"/>
        <v>5689</v>
      </c>
      <c r="AM12" s="40">
        <f t="shared" si="10"/>
        <v>2721</v>
      </c>
      <c r="AN12" s="40">
        <f t="shared" si="10"/>
        <v>8410</v>
      </c>
      <c r="AO12" s="24">
        <f t="shared" si="10"/>
        <v>3707</v>
      </c>
      <c r="AP12" s="92">
        <f t="shared" si="10"/>
        <v>12117</v>
      </c>
      <c r="AR12" s="91">
        <f>+AR10+AR11</f>
        <v>3046</v>
      </c>
      <c r="AS12" s="40">
        <f>+AS10+AS11</f>
        <v>2518</v>
      </c>
      <c r="AT12" s="40">
        <f>+AT10+AT11</f>
        <v>5564</v>
      </c>
      <c r="AU12" s="40">
        <f>+AU10+AU11</f>
        <v>2561</v>
      </c>
      <c r="AV12" s="40">
        <f>SUM(AV10:AV11)</f>
        <v>8125</v>
      </c>
      <c r="AW12" s="24">
        <f t="shared" si="1"/>
        <v>3141</v>
      </c>
      <c r="AX12" s="92">
        <f>+AX10+AX11</f>
        <v>11266</v>
      </c>
      <c r="AZ12" s="91">
        <f>+AZ10+AZ11</f>
        <v>2836</v>
      </c>
      <c r="BA12" s="40">
        <f>+BA10+BA11</f>
        <v>2197</v>
      </c>
      <c r="BB12" s="40">
        <f>+BB10+BB11</f>
        <v>5033</v>
      </c>
      <c r="BC12" s="40">
        <f>+BC10+BC11</f>
        <v>2279</v>
      </c>
      <c r="BD12" s="291">
        <f>SUM(BD10:BD11)</f>
        <v>7312</v>
      </c>
      <c r="BE12" s="24">
        <f t="shared" si="0"/>
        <v>-7312</v>
      </c>
      <c r="BF12" s="92">
        <f>+BF10+BF11</f>
        <v>0</v>
      </c>
    </row>
    <row r="13" spans="1:58" ht="12.75" customHeight="1">
      <c r="A13" s="60"/>
      <c r="B13" s="153"/>
      <c r="D13" s="91"/>
      <c r="E13" s="40"/>
      <c r="F13" s="40"/>
      <c r="G13" s="40"/>
      <c r="H13" s="40"/>
      <c r="I13" s="54"/>
      <c r="J13" s="92"/>
      <c r="L13" s="91"/>
      <c r="M13" s="40"/>
      <c r="N13" s="40"/>
      <c r="O13" s="40"/>
      <c r="P13" s="40"/>
      <c r="Q13" s="54"/>
      <c r="R13" s="92"/>
      <c r="T13" s="91"/>
      <c r="U13" s="40"/>
      <c r="V13" s="40"/>
      <c r="W13" s="40"/>
      <c r="X13" s="40"/>
      <c r="Y13" s="54"/>
      <c r="Z13" s="92"/>
      <c r="AB13" s="91"/>
      <c r="AC13" s="40"/>
      <c r="AD13" s="40"/>
      <c r="AE13" s="40"/>
      <c r="AF13" s="40"/>
      <c r="AG13" s="54"/>
      <c r="AH13" s="92"/>
      <c r="AJ13" s="91"/>
      <c r="AK13" s="40"/>
      <c r="AL13" s="40"/>
      <c r="AM13" s="40"/>
      <c r="AN13" s="40"/>
      <c r="AO13" s="54"/>
      <c r="AP13" s="92"/>
      <c r="AR13" s="91"/>
      <c r="AS13" s="40"/>
      <c r="AT13" s="40"/>
      <c r="AU13" s="40"/>
      <c r="AV13" s="40"/>
      <c r="AW13" s="54"/>
      <c r="AX13" s="92"/>
      <c r="AZ13" s="91"/>
      <c r="BA13" s="40"/>
      <c r="BB13" s="40"/>
      <c r="BC13" s="40"/>
      <c r="BD13" s="291"/>
      <c r="BE13" s="54"/>
      <c r="BF13" s="92"/>
    </row>
    <row r="14" spans="2:58" ht="13.5" customHeight="1">
      <c r="B14" s="152" t="s">
        <v>127</v>
      </c>
      <c r="D14" s="248">
        <v>-3402</v>
      </c>
      <c r="E14" s="54">
        <f>+F14-D14</f>
        <v>-2534</v>
      </c>
      <c r="F14" s="247">
        <v>-5936</v>
      </c>
      <c r="G14" s="54">
        <f>+H14-F14</f>
        <v>-2773</v>
      </c>
      <c r="H14" s="245">
        <v>-8709</v>
      </c>
      <c r="I14" s="54">
        <f>+J14-H14</f>
        <v>-3106</v>
      </c>
      <c r="J14" s="272">
        <v>-11815</v>
      </c>
      <c r="L14" s="248">
        <v>-3362</v>
      </c>
      <c r="M14" s="54">
        <f>+N14-L14</f>
        <v>-2501</v>
      </c>
      <c r="N14" s="247">
        <v>-5863</v>
      </c>
      <c r="O14" s="54">
        <f>+P14-N14</f>
        <v>-2731</v>
      </c>
      <c r="P14" s="245">
        <v>-8594</v>
      </c>
      <c r="Q14" s="54">
        <f>+R14-P14</f>
        <v>-3047</v>
      </c>
      <c r="R14" s="272">
        <v>-11641</v>
      </c>
      <c r="T14" s="248">
        <v>-3392</v>
      </c>
      <c r="U14" s="54">
        <f>+V14-T14</f>
        <v>-2442</v>
      </c>
      <c r="V14" s="247">
        <v>-5834</v>
      </c>
      <c r="W14" s="54">
        <f>+X14-V14</f>
        <v>-2616</v>
      </c>
      <c r="X14" s="245">
        <v>-8450</v>
      </c>
      <c r="Y14" s="54">
        <f>+Z14-X14</f>
        <v>-3095</v>
      </c>
      <c r="Z14" s="272">
        <v>-11545</v>
      </c>
      <c r="AB14" s="248">
        <v>-3250</v>
      </c>
      <c r="AC14" s="54">
        <f>+AD14-AB14</f>
        <v>-2423</v>
      </c>
      <c r="AD14" s="247">
        <v>-5673</v>
      </c>
      <c r="AE14" s="54">
        <f>+AF14-AD14</f>
        <v>-2636</v>
      </c>
      <c r="AF14" s="245">
        <v>-8309</v>
      </c>
      <c r="AG14" s="54">
        <f>+AH14-AF14</f>
        <v>-3236</v>
      </c>
      <c r="AH14" s="272">
        <v>-11545</v>
      </c>
      <c r="AJ14" s="248">
        <v>-3072</v>
      </c>
      <c r="AK14" s="54">
        <f>+AL14-AJ14</f>
        <v>-2300</v>
      </c>
      <c r="AL14" s="247">
        <v>-5372</v>
      </c>
      <c r="AM14" s="54">
        <f>+AN14-AL14</f>
        <v>-2596</v>
      </c>
      <c r="AN14" s="245">
        <v>-7968</v>
      </c>
      <c r="AO14" s="54">
        <f>+AP14-AN14</f>
        <v>-2656</v>
      </c>
      <c r="AP14" s="272">
        <v>-10624</v>
      </c>
      <c r="AR14" s="248">
        <v>-2820</v>
      </c>
      <c r="AS14" s="54">
        <f>+AT14-AR14</f>
        <v>-2269</v>
      </c>
      <c r="AT14" s="247">
        <v>-5089</v>
      </c>
      <c r="AU14" s="54">
        <f>+AV14-AT14</f>
        <v>-2337</v>
      </c>
      <c r="AV14" s="245">
        <v>-7426</v>
      </c>
      <c r="AW14" s="54">
        <f t="shared" si="1"/>
        <v>-2892</v>
      </c>
      <c r="AX14" s="272">
        <v>-10318</v>
      </c>
      <c r="AZ14" s="248">
        <v>-2528</v>
      </c>
      <c r="BA14" s="54">
        <f>+BB14-AZ14</f>
        <v>-1922</v>
      </c>
      <c r="BB14" s="247">
        <v>-4450</v>
      </c>
      <c r="BC14" s="54">
        <f>+BD14-BB14</f>
        <v>-1987</v>
      </c>
      <c r="BD14" s="245">
        <v>-6437</v>
      </c>
      <c r="BE14" s="54">
        <f>+BF14-BD14</f>
        <v>6437</v>
      </c>
      <c r="BF14" s="272"/>
    </row>
    <row r="15" spans="2:58" ht="12.75">
      <c r="B15" s="152" t="s">
        <v>179</v>
      </c>
      <c r="D15" s="248">
        <v>-55</v>
      </c>
      <c r="E15" s="54">
        <f>+F15-D15</f>
        <v>-55</v>
      </c>
      <c r="F15" s="247">
        <v>-110</v>
      </c>
      <c r="G15" s="54">
        <f>+H15-F15</f>
        <v>-54</v>
      </c>
      <c r="H15" s="247">
        <v>-164</v>
      </c>
      <c r="I15" s="54">
        <f>+J15-H15</f>
        <v>-62</v>
      </c>
      <c r="J15" s="272">
        <v>-226</v>
      </c>
      <c r="L15" s="248">
        <v>-54</v>
      </c>
      <c r="M15" s="54">
        <f>+N15-L15</f>
        <v>-55</v>
      </c>
      <c r="N15" s="247">
        <v>-109</v>
      </c>
      <c r="O15" s="54">
        <f>+P15-N15</f>
        <v>-53</v>
      </c>
      <c r="P15" s="247">
        <v>-162</v>
      </c>
      <c r="Q15" s="54">
        <f>+R15-P15</f>
        <v>-61</v>
      </c>
      <c r="R15" s="272">
        <v>-223</v>
      </c>
      <c r="T15" s="248">
        <v>-55</v>
      </c>
      <c r="U15" s="54">
        <f>+V15-T15</f>
        <v>-56</v>
      </c>
      <c r="V15" s="247">
        <v>-111</v>
      </c>
      <c r="W15" s="54">
        <f>+X15-V15</f>
        <v>-51</v>
      </c>
      <c r="X15" s="247">
        <v>-162</v>
      </c>
      <c r="Y15" s="54">
        <f>+Z15-X15</f>
        <v>-59</v>
      </c>
      <c r="Z15" s="272">
        <v>-221</v>
      </c>
      <c r="AB15" s="248">
        <v>-55</v>
      </c>
      <c r="AC15" s="54">
        <f>+AD15-AB15</f>
        <v>-56</v>
      </c>
      <c r="AD15" s="247">
        <v>-111</v>
      </c>
      <c r="AE15" s="54">
        <f>+AF15-AD15</f>
        <v>-51</v>
      </c>
      <c r="AF15" s="247">
        <v>-162</v>
      </c>
      <c r="AG15" s="54">
        <f>+AH15-AF15</f>
        <v>-59</v>
      </c>
      <c r="AH15" s="272">
        <v>-221</v>
      </c>
      <c r="AJ15" s="248">
        <v>-55</v>
      </c>
      <c r="AK15" s="54">
        <f>+AL15-AJ15</f>
        <v>-58</v>
      </c>
      <c r="AL15" s="247">
        <v>-113</v>
      </c>
      <c r="AM15" s="54">
        <f>+AN15-AL15</f>
        <v>-57</v>
      </c>
      <c r="AN15" s="247">
        <v>-170</v>
      </c>
      <c r="AO15" s="54">
        <f>+AP15-AN15</f>
        <v>-62</v>
      </c>
      <c r="AP15" s="272">
        <v>-232</v>
      </c>
      <c r="AR15" s="248">
        <v>-54</v>
      </c>
      <c r="AS15" s="54">
        <f>+AT15-AR15</f>
        <v>-81</v>
      </c>
      <c r="AT15" s="247">
        <v>-135</v>
      </c>
      <c r="AU15" s="54">
        <f>+AV15-AT15</f>
        <v>-75</v>
      </c>
      <c r="AV15" s="247">
        <v>-210</v>
      </c>
      <c r="AW15" s="54">
        <f t="shared" si="1"/>
        <v>-85</v>
      </c>
      <c r="AX15" s="272">
        <v>-295</v>
      </c>
      <c r="AZ15" s="248">
        <v>-79</v>
      </c>
      <c r="BA15" s="54">
        <f>+BB15-AZ15</f>
        <v>-78</v>
      </c>
      <c r="BB15" s="247">
        <v>-157</v>
      </c>
      <c r="BC15" s="54">
        <f>+BD15-BB15</f>
        <v>-71</v>
      </c>
      <c r="BD15" s="247">
        <v>-228</v>
      </c>
      <c r="BE15" s="54">
        <f>+BF15-BD15</f>
        <v>228</v>
      </c>
      <c r="BF15" s="272"/>
    </row>
    <row r="16" spans="2:58" s="60" customFormat="1" ht="12.75">
      <c r="B16" s="152"/>
      <c r="D16" s="249"/>
      <c r="E16" s="54"/>
      <c r="F16" s="254"/>
      <c r="G16" s="54"/>
      <c r="H16" s="254"/>
      <c r="I16" s="54"/>
      <c r="J16" s="272"/>
      <c r="L16" s="249"/>
      <c r="M16" s="54"/>
      <c r="N16" s="254"/>
      <c r="O16" s="54"/>
      <c r="P16" s="254"/>
      <c r="Q16" s="54"/>
      <c r="R16" s="272"/>
      <c r="T16" s="249"/>
      <c r="U16" s="54"/>
      <c r="V16" s="254"/>
      <c r="W16" s="54"/>
      <c r="X16" s="254"/>
      <c r="Y16" s="54"/>
      <c r="Z16" s="272"/>
      <c r="AB16" s="249"/>
      <c r="AC16" s="54"/>
      <c r="AD16" s="254"/>
      <c r="AE16" s="54"/>
      <c r="AF16" s="254"/>
      <c r="AG16" s="54"/>
      <c r="AH16" s="272"/>
      <c r="AJ16" s="249"/>
      <c r="AK16" s="54"/>
      <c r="AL16" s="254"/>
      <c r="AM16" s="54"/>
      <c r="AN16" s="254"/>
      <c r="AO16" s="54"/>
      <c r="AP16" s="272"/>
      <c r="AR16" s="249"/>
      <c r="AS16" s="54"/>
      <c r="AT16" s="254"/>
      <c r="AU16" s="54"/>
      <c r="AV16" s="254"/>
      <c r="AW16" s="54"/>
      <c r="AX16" s="272"/>
      <c r="AZ16" s="249"/>
      <c r="BA16" s="54"/>
      <c r="BB16" s="254"/>
      <c r="BC16" s="54"/>
      <c r="BD16" s="254"/>
      <c r="BE16" s="54"/>
      <c r="BF16" s="272"/>
    </row>
    <row r="17" spans="2:58" s="60" customFormat="1" ht="12.75">
      <c r="B17" s="297" t="s">
        <v>517</v>
      </c>
      <c r="D17" s="246">
        <v>157</v>
      </c>
      <c r="E17" s="54">
        <f>+F17-D17</f>
        <v>212</v>
      </c>
      <c r="F17" s="245">
        <v>369</v>
      </c>
      <c r="G17" s="54">
        <f>+H17-F17</f>
        <v>172</v>
      </c>
      <c r="H17" s="245">
        <v>541</v>
      </c>
      <c r="I17" s="54">
        <f>+J17-H17</f>
        <v>165</v>
      </c>
      <c r="J17" s="272">
        <v>706</v>
      </c>
      <c r="L17" s="246">
        <v>149</v>
      </c>
      <c r="M17" s="54">
        <f>+N17-L17</f>
        <v>204</v>
      </c>
      <c r="N17" s="245">
        <v>353</v>
      </c>
      <c r="O17" s="54">
        <f>+P17-N17</f>
        <v>159</v>
      </c>
      <c r="P17" s="245">
        <v>512</v>
      </c>
      <c r="Q17" s="54">
        <f>+R17-P17</f>
        <v>154</v>
      </c>
      <c r="R17" s="272">
        <v>666</v>
      </c>
      <c r="T17" s="246">
        <v>188</v>
      </c>
      <c r="U17" s="54">
        <f>+V17-T17</f>
        <v>176</v>
      </c>
      <c r="V17" s="245">
        <v>364</v>
      </c>
      <c r="W17" s="54">
        <f>+X17-V17</f>
        <v>146</v>
      </c>
      <c r="X17" s="245">
        <v>510</v>
      </c>
      <c r="Y17" s="54">
        <f>+Z17-X17</f>
        <v>180</v>
      </c>
      <c r="Z17" s="272">
        <v>690</v>
      </c>
      <c r="AB17" s="246">
        <v>188</v>
      </c>
      <c r="AC17" s="54">
        <f>+AD17-AB17</f>
        <v>176</v>
      </c>
      <c r="AD17" s="245">
        <v>364</v>
      </c>
      <c r="AE17" s="54">
        <f>+AF17-AD17</f>
        <v>146</v>
      </c>
      <c r="AF17" s="245">
        <v>510</v>
      </c>
      <c r="AG17" s="54">
        <f>+AH17-AF17</f>
        <v>180</v>
      </c>
      <c r="AH17" s="272">
        <v>690</v>
      </c>
      <c r="AJ17" s="246">
        <v>109</v>
      </c>
      <c r="AK17" s="54">
        <f>+AL17-AJ17</f>
        <v>99</v>
      </c>
      <c r="AL17" s="245">
        <v>208</v>
      </c>
      <c r="AM17" s="54">
        <f>+AN17-AL17</f>
        <v>79</v>
      </c>
      <c r="AN17" s="245">
        <v>287</v>
      </c>
      <c r="AO17" s="54">
        <f>+AP17-AN17</f>
        <v>-11</v>
      </c>
      <c r="AP17" s="272">
        <v>276</v>
      </c>
      <c r="AR17" s="246">
        <v>43</v>
      </c>
      <c r="AS17" s="54">
        <f>+AT17-AR17</f>
        <v>79</v>
      </c>
      <c r="AT17" s="245">
        <v>122</v>
      </c>
      <c r="AU17" s="54">
        <f>+AV17-AT17</f>
        <v>60</v>
      </c>
      <c r="AV17" s="245">
        <v>182</v>
      </c>
      <c r="AW17" s="54">
        <f t="shared" si="1"/>
        <v>60</v>
      </c>
      <c r="AX17" s="272">
        <v>242</v>
      </c>
      <c r="AZ17" s="246">
        <v>68</v>
      </c>
      <c r="BA17" s="54">
        <f>+BB17-AZ17</f>
        <v>63</v>
      </c>
      <c r="BB17" s="245">
        <v>131</v>
      </c>
      <c r="BC17" s="54">
        <f>+BD17-BB17</f>
        <v>101</v>
      </c>
      <c r="BD17" s="245">
        <v>232</v>
      </c>
      <c r="BE17" s="54">
        <f>+BF17-BD17</f>
        <v>-232</v>
      </c>
      <c r="BF17" s="272"/>
    </row>
    <row r="18" spans="2:58" s="60" customFormat="1" ht="12.75">
      <c r="B18" s="297" t="s">
        <v>518</v>
      </c>
      <c r="D18" s="246">
        <v>-132</v>
      </c>
      <c r="E18" s="54">
        <f>+F18-D18</f>
        <v>481</v>
      </c>
      <c r="F18" s="245">
        <v>349</v>
      </c>
      <c r="G18" s="54">
        <f>+H18-F18</f>
        <v>22</v>
      </c>
      <c r="H18" s="245">
        <v>371</v>
      </c>
      <c r="I18" s="54">
        <f>+J18-H18</f>
        <v>43</v>
      </c>
      <c r="J18" s="272">
        <v>414</v>
      </c>
      <c r="L18" s="246">
        <v>-132</v>
      </c>
      <c r="M18" s="54">
        <f>+N18-L18</f>
        <v>482</v>
      </c>
      <c r="N18" s="245">
        <v>350</v>
      </c>
      <c r="O18" s="54">
        <f>+P18-N18</f>
        <v>23</v>
      </c>
      <c r="P18" s="245">
        <v>373</v>
      </c>
      <c r="Q18" s="54">
        <f>+R18-P18</f>
        <v>42</v>
      </c>
      <c r="R18" s="272">
        <v>415</v>
      </c>
      <c r="T18" s="246">
        <v>49</v>
      </c>
      <c r="U18" s="54">
        <f>+V18-T18</f>
        <v>69</v>
      </c>
      <c r="V18" s="245">
        <v>118</v>
      </c>
      <c r="W18" s="54">
        <f>+X18-V18</f>
        <v>115</v>
      </c>
      <c r="X18" s="245">
        <v>233</v>
      </c>
      <c r="Y18" s="54">
        <f>+Z18-X18</f>
        <v>22</v>
      </c>
      <c r="Z18" s="272">
        <v>255</v>
      </c>
      <c r="AB18" s="246">
        <v>49</v>
      </c>
      <c r="AC18" s="54">
        <f>+AD18-AB18</f>
        <v>69</v>
      </c>
      <c r="AD18" s="245">
        <v>118</v>
      </c>
      <c r="AE18" s="54">
        <f>+AF18-AD18</f>
        <v>115</v>
      </c>
      <c r="AF18" s="245">
        <v>233</v>
      </c>
      <c r="AG18" s="54">
        <f>+AH18-AF18</f>
        <v>22</v>
      </c>
      <c r="AH18" s="272">
        <v>255</v>
      </c>
      <c r="AJ18" s="246">
        <v>-37</v>
      </c>
      <c r="AK18" s="54">
        <f>+AL18-AJ18</f>
        <v>79</v>
      </c>
      <c r="AL18" s="245">
        <v>42</v>
      </c>
      <c r="AM18" s="54">
        <f>+AN18-AL18</f>
        <v>12</v>
      </c>
      <c r="AN18" s="245">
        <v>54</v>
      </c>
      <c r="AO18" s="54">
        <f>+AP18-AN18</f>
        <v>1025</v>
      </c>
      <c r="AP18" s="272">
        <v>1079</v>
      </c>
      <c r="AR18" s="246">
        <v>147</v>
      </c>
      <c r="AS18" s="54">
        <f>+AT18-AR18</f>
        <v>113</v>
      </c>
      <c r="AT18" s="245">
        <v>260</v>
      </c>
      <c r="AU18" s="54">
        <f>+AV18-AT18</f>
        <v>107</v>
      </c>
      <c r="AV18" s="245">
        <v>367</v>
      </c>
      <c r="AW18" s="54">
        <f t="shared" si="1"/>
        <v>138</v>
      </c>
      <c r="AX18" s="272">
        <v>505</v>
      </c>
      <c r="AZ18" s="246">
        <v>181</v>
      </c>
      <c r="BA18" s="54">
        <f>+BB18-AZ18</f>
        <v>166</v>
      </c>
      <c r="BB18" s="245">
        <v>347</v>
      </c>
      <c r="BC18" s="54">
        <f>+BD18-BB18</f>
        <v>133</v>
      </c>
      <c r="BD18" s="245">
        <v>480</v>
      </c>
      <c r="BE18" s="54">
        <f>+BF18-BD18</f>
        <v>-480</v>
      </c>
      <c r="BF18" s="272"/>
    </row>
    <row r="19" spans="2:58" s="60" customFormat="1" ht="12.75">
      <c r="B19" s="297" t="s">
        <v>521</v>
      </c>
      <c r="D19" s="246"/>
      <c r="E19" s="54"/>
      <c r="F19" s="245"/>
      <c r="G19" s="54"/>
      <c r="H19" s="245"/>
      <c r="I19" s="54"/>
      <c r="J19" s="272"/>
      <c r="L19" s="246"/>
      <c r="M19" s="54"/>
      <c r="N19" s="245"/>
      <c r="O19" s="54"/>
      <c r="P19" s="245"/>
      <c r="Q19" s="54"/>
      <c r="R19" s="272"/>
      <c r="T19" s="246"/>
      <c r="U19" s="54"/>
      <c r="V19" s="245"/>
      <c r="W19" s="54"/>
      <c r="X19" s="245"/>
      <c r="Y19" s="54"/>
      <c r="Z19" s="272"/>
      <c r="AB19" s="246"/>
      <c r="AC19" s="54"/>
      <c r="AD19" s="245"/>
      <c r="AE19" s="54"/>
      <c r="AF19" s="245"/>
      <c r="AG19" s="54"/>
      <c r="AH19" s="272"/>
      <c r="AJ19" s="246"/>
      <c r="AK19" s="54"/>
      <c r="AL19" s="245"/>
      <c r="AM19" s="54"/>
      <c r="AN19" s="245"/>
      <c r="AO19" s="54"/>
      <c r="AP19" s="272"/>
      <c r="AR19" s="246"/>
      <c r="AS19" s="54"/>
      <c r="AT19" s="245"/>
      <c r="AU19" s="54"/>
      <c r="AV19" s="245"/>
      <c r="AW19" s="54"/>
      <c r="AX19" s="272"/>
      <c r="AZ19" s="246"/>
      <c r="BA19" s="54"/>
      <c r="BB19" s="245"/>
      <c r="BC19" s="54"/>
      <c r="BD19" s="245"/>
      <c r="BE19" s="54"/>
      <c r="BF19" s="272"/>
    </row>
    <row r="20" spans="2:58" s="60" customFormat="1" ht="12.75">
      <c r="B20" s="297" t="s">
        <v>519</v>
      </c>
      <c r="D20" s="246">
        <v>106</v>
      </c>
      <c r="E20" s="54">
        <f>+F20-D20</f>
        <v>108</v>
      </c>
      <c r="F20" s="245">
        <v>214</v>
      </c>
      <c r="G20" s="54">
        <f>+H20-F20</f>
        <v>119</v>
      </c>
      <c r="H20" s="245">
        <v>333</v>
      </c>
      <c r="I20" s="54">
        <f>+J20-H20</f>
        <v>111</v>
      </c>
      <c r="J20" s="272">
        <v>444</v>
      </c>
      <c r="L20" s="246">
        <v>106</v>
      </c>
      <c r="M20" s="54">
        <f>+N20-L20</f>
        <v>108</v>
      </c>
      <c r="N20" s="245">
        <v>214</v>
      </c>
      <c r="O20" s="54">
        <f>+P20-N20</f>
        <v>119</v>
      </c>
      <c r="P20" s="245">
        <v>333</v>
      </c>
      <c r="Q20" s="54">
        <f>+R20-P20</f>
        <v>111</v>
      </c>
      <c r="R20" s="272">
        <v>444</v>
      </c>
      <c r="T20" s="246">
        <v>103</v>
      </c>
      <c r="U20" s="54">
        <f>+V20-T20</f>
        <v>113</v>
      </c>
      <c r="V20" s="245">
        <v>216</v>
      </c>
      <c r="W20" s="54">
        <f>+X20-V20</f>
        <v>102</v>
      </c>
      <c r="X20" s="245">
        <v>318</v>
      </c>
      <c r="Y20" s="54">
        <f>+Z20-X20</f>
        <v>109</v>
      </c>
      <c r="Z20" s="272">
        <v>427</v>
      </c>
      <c r="AB20" s="246">
        <v>103</v>
      </c>
      <c r="AC20" s="54">
        <f>+AD20-AB20</f>
        <v>113</v>
      </c>
      <c r="AD20" s="245">
        <v>216</v>
      </c>
      <c r="AE20" s="54">
        <f>+AF20-AD20</f>
        <v>102</v>
      </c>
      <c r="AF20" s="245">
        <v>318</v>
      </c>
      <c r="AG20" s="54">
        <f>+AH20-AF20</f>
        <v>109</v>
      </c>
      <c r="AH20" s="272">
        <v>427</v>
      </c>
      <c r="AJ20" s="246">
        <v>65</v>
      </c>
      <c r="AK20" s="54">
        <f>+AL20-AJ20</f>
        <v>80</v>
      </c>
      <c r="AL20" s="245">
        <v>145</v>
      </c>
      <c r="AM20" s="54">
        <f>+AN20-AL20</f>
        <v>47</v>
      </c>
      <c r="AN20" s="245">
        <v>192</v>
      </c>
      <c r="AO20" s="54">
        <f>+AP20-AN20</f>
        <v>51</v>
      </c>
      <c r="AP20" s="272">
        <v>243</v>
      </c>
      <c r="AR20" s="246">
        <v>37</v>
      </c>
      <c r="AS20" s="54">
        <f>+AT20-AR20</f>
        <v>46</v>
      </c>
      <c r="AT20" s="245">
        <v>83</v>
      </c>
      <c r="AU20" s="54">
        <f>+AV20-AT20</f>
        <v>69</v>
      </c>
      <c r="AV20" s="245">
        <v>152</v>
      </c>
      <c r="AW20" s="54">
        <f t="shared" si="1"/>
        <v>30</v>
      </c>
      <c r="AX20" s="272">
        <v>182</v>
      </c>
      <c r="AZ20" s="246">
        <v>60</v>
      </c>
      <c r="BA20" s="54">
        <f>+BB20-AZ20</f>
        <v>83</v>
      </c>
      <c r="BB20" s="245">
        <v>143</v>
      </c>
      <c r="BC20" s="54">
        <f>+BD20-BB20</f>
        <v>60</v>
      </c>
      <c r="BD20" s="245">
        <v>203</v>
      </c>
      <c r="BE20" s="54">
        <f>+BF20-BD20</f>
        <v>-203</v>
      </c>
      <c r="BF20" s="272"/>
    </row>
    <row r="21" spans="2:58" s="60" customFormat="1" ht="12.75">
      <c r="B21" s="297" t="s">
        <v>364</v>
      </c>
      <c r="D21" s="246">
        <v>-238</v>
      </c>
      <c r="E21" s="54">
        <f>+F21-D21</f>
        <v>373</v>
      </c>
      <c r="F21" s="245">
        <v>135</v>
      </c>
      <c r="G21" s="54">
        <f>+H21-F21</f>
        <v>-97</v>
      </c>
      <c r="H21" s="245">
        <v>38</v>
      </c>
      <c r="I21" s="54">
        <f>+J21-H21</f>
        <v>-68</v>
      </c>
      <c r="J21" s="272">
        <v>-30</v>
      </c>
      <c r="L21" s="246">
        <v>-238</v>
      </c>
      <c r="M21" s="54">
        <f>+N21-L21</f>
        <v>374</v>
      </c>
      <c r="N21" s="245">
        <v>136</v>
      </c>
      <c r="O21" s="54">
        <f>+P21-N21</f>
        <v>-96</v>
      </c>
      <c r="P21" s="245">
        <v>40</v>
      </c>
      <c r="Q21" s="54">
        <f>+R21-P21</f>
        <v>-69</v>
      </c>
      <c r="R21" s="272">
        <v>-29</v>
      </c>
      <c r="T21" s="246">
        <v>-54</v>
      </c>
      <c r="U21" s="54">
        <f>+V21-T21</f>
        <v>-44</v>
      </c>
      <c r="V21" s="245">
        <v>-98</v>
      </c>
      <c r="W21" s="54">
        <f>+X21-V21</f>
        <v>13</v>
      </c>
      <c r="X21" s="245">
        <v>-85</v>
      </c>
      <c r="Y21" s="54">
        <f>+Z21-X21</f>
        <v>-87</v>
      </c>
      <c r="Z21" s="272">
        <v>-172</v>
      </c>
      <c r="AB21" s="246">
        <v>-54</v>
      </c>
      <c r="AC21" s="54">
        <f>+AD21-AB21</f>
        <v>-44</v>
      </c>
      <c r="AD21" s="245">
        <v>-98</v>
      </c>
      <c r="AE21" s="54">
        <f>+AF21-AD21</f>
        <v>13</v>
      </c>
      <c r="AF21" s="245">
        <v>-85</v>
      </c>
      <c r="AG21" s="54">
        <f>+AH21-AF21</f>
        <v>-87</v>
      </c>
      <c r="AH21" s="272">
        <v>-172</v>
      </c>
      <c r="AJ21" s="246">
        <v>-102</v>
      </c>
      <c r="AK21" s="54">
        <f>+AL21-AJ21</f>
        <v>-1</v>
      </c>
      <c r="AL21" s="245">
        <v>-103</v>
      </c>
      <c r="AM21" s="54">
        <f>+AN21-AL21</f>
        <v>-35</v>
      </c>
      <c r="AN21" s="245">
        <v>-138</v>
      </c>
      <c r="AO21" s="54">
        <f>+AP21-AN21</f>
        <v>974</v>
      </c>
      <c r="AP21" s="272">
        <v>836</v>
      </c>
      <c r="AR21" s="246">
        <v>110</v>
      </c>
      <c r="AS21" s="54">
        <f>+AT21-AR21</f>
        <v>67</v>
      </c>
      <c r="AT21" s="245">
        <v>177</v>
      </c>
      <c r="AU21" s="54">
        <f>+AV21-AT21</f>
        <v>38</v>
      </c>
      <c r="AV21" s="245">
        <v>215</v>
      </c>
      <c r="AW21" s="54">
        <f>+AX21-AV21</f>
        <v>108</v>
      </c>
      <c r="AX21" s="272">
        <v>323</v>
      </c>
      <c r="AZ21" s="246">
        <v>121</v>
      </c>
      <c r="BA21" s="54">
        <f>+BB21-AZ21</f>
        <v>83</v>
      </c>
      <c r="BB21" s="245">
        <v>204</v>
      </c>
      <c r="BC21" s="54">
        <f>+BD21-BB21</f>
        <v>73</v>
      </c>
      <c r="BD21" s="245">
        <v>277</v>
      </c>
      <c r="BE21" s="54">
        <f>+BF21-BD21</f>
        <v>-277</v>
      </c>
      <c r="BF21" s="272"/>
    </row>
    <row r="22" spans="2:58" s="60" customFormat="1" ht="12.75">
      <c r="B22" s="297" t="s">
        <v>365</v>
      </c>
      <c r="D22" s="246">
        <v>-23</v>
      </c>
      <c r="E22" s="54">
        <f>+F22-D22</f>
        <v>-25</v>
      </c>
      <c r="F22" s="245">
        <v>-48</v>
      </c>
      <c r="G22" s="54">
        <f>+H22-F22</f>
        <v>-21</v>
      </c>
      <c r="H22" s="245">
        <v>-69</v>
      </c>
      <c r="I22" s="54">
        <f>+J22-H22</f>
        <v>-42</v>
      </c>
      <c r="J22" s="272">
        <v>-111</v>
      </c>
      <c r="L22" s="246">
        <v>-23</v>
      </c>
      <c r="M22" s="54">
        <f>+N22-L22</f>
        <v>-25</v>
      </c>
      <c r="N22" s="245">
        <v>-48</v>
      </c>
      <c r="O22" s="54">
        <f>+P22-N22</f>
        <v>-21</v>
      </c>
      <c r="P22" s="245">
        <v>-69</v>
      </c>
      <c r="Q22" s="54">
        <f>+R22-P22</f>
        <v>-42</v>
      </c>
      <c r="R22" s="272">
        <v>-111</v>
      </c>
      <c r="T22" s="246">
        <v>-21</v>
      </c>
      <c r="U22" s="54">
        <f>+V22-T22</f>
        <v>-38</v>
      </c>
      <c r="V22" s="245">
        <v>-59</v>
      </c>
      <c r="W22" s="54">
        <f>+X22-V22</f>
        <v>-32</v>
      </c>
      <c r="X22" s="245">
        <v>-91</v>
      </c>
      <c r="Y22" s="54">
        <f>+Z22-X22</f>
        <v>-40</v>
      </c>
      <c r="Z22" s="272">
        <v>-131</v>
      </c>
      <c r="AB22" s="246">
        <v>-21</v>
      </c>
      <c r="AC22" s="54">
        <f>+AD22-AB22</f>
        <v>-38</v>
      </c>
      <c r="AD22" s="245">
        <v>-59</v>
      </c>
      <c r="AE22" s="54">
        <f>+AF22-AD22</f>
        <v>-32</v>
      </c>
      <c r="AF22" s="245">
        <v>-91</v>
      </c>
      <c r="AG22" s="54">
        <f>+AH22-AF22</f>
        <v>-40</v>
      </c>
      <c r="AH22" s="272">
        <v>-131</v>
      </c>
      <c r="AJ22" s="246">
        <v>-21</v>
      </c>
      <c r="AK22" s="54">
        <f>+AL22-AJ22</f>
        <v>-25</v>
      </c>
      <c r="AL22" s="245">
        <v>-46</v>
      </c>
      <c r="AM22" s="54">
        <f>+AN22-AL22</f>
        <v>-23</v>
      </c>
      <c r="AN22" s="245">
        <v>-69</v>
      </c>
      <c r="AO22" s="54">
        <f>+AP22-AN22</f>
        <v>-25</v>
      </c>
      <c r="AP22" s="272">
        <v>-94</v>
      </c>
      <c r="AQ22" s="20"/>
      <c r="AR22" s="246">
        <v>-18</v>
      </c>
      <c r="AS22" s="54">
        <f>+AT22-AR22</f>
        <v>-24</v>
      </c>
      <c r="AT22" s="245">
        <v>-42</v>
      </c>
      <c r="AU22" s="54">
        <f>+AV22-AT22</f>
        <v>-18</v>
      </c>
      <c r="AV22" s="245">
        <v>-60</v>
      </c>
      <c r="AW22" s="54">
        <f t="shared" si="1"/>
        <v>-34</v>
      </c>
      <c r="AX22" s="272">
        <v>-94</v>
      </c>
      <c r="AZ22" s="246">
        <v>-20</v>
      </c>
      <c r="BA22" s="54">
        <f>+BB22-AZ22</f>
        <v>-32</v>
      </c>
      <c r="BB22" s="245">
        <v>-52</v>
      </c>
      <c r="BC22" s="54">
        <f>+BD22-BB22</f>
        <v>-13</v>
      </c>
      <c r="BD22" s="245">
        <v>-65</v>
      </c>
      <c r="BE22" s="54">
        <f>+BF22-BD22</f>
        <v>65</v>
      </c>
      <c r="BF22" s="272"/>
    </row>
    <row r="23" spans="2:58" s="63" customFormat="1" ht="13.5" customHeight="1">
      <c r="B23" s="298" t="s">
        <v>502</v>
      </c>
      <c r="D23" s="163">
        <f>SUM(D12:D15)</f>
        <v>2</v>
      </c>
      <c r="E23" s="61">
        <f>+E12+E14+E15</f>
        <v>668</v>
      </c>
      <c r="F23" s="61">
        <f>+F12+F14+F15</f>
        <v>670</v>
      </c>
      <c r="G23" s="61">
        <f>+G12+G14+G15</f>
        <v>173</v>
      </c>
      <c r="H23" s="61">
        <f>+H12+H14+H15</f>
        <v>843</v>
      </c>
      <c r="I23" s="24">
        <f>+J23-H23</f>
        <v>166</v>
      </c>
      <c r="J23" s="144">
        <f>+J17+J18+J22</f>
        <v>1009</v>
      </c>
      <c r="L23" s="163">
        <f>SUM(L12:L15)</f>
        <v>-6</v>
      </c>
      <c r="M23" s="61">
        <f aca="true" t="shared" si="11" ref="M23:R23">+M12+M14+M15</f>
        <v>661</v>
      </c>
      <c r="N23" s="61">
        <f t="shared" si="11"/>
        <v>655</v>
      </c>
      <c r="O23" s="61">
        <f t="shared" si="11"/>
        <v>161</v>
      </c>
      <c r="P23" s="61">
        <f t="shared" si="11"/>
        <v>816</v>
      </c>
      <c r="Q23" s="24">
        <f t="shared" si="11"/>
        <v>154</v>
      </c>
      <c r="R23" s="144">
        <f t="shared" si="11"/>
        <v>970</v>
      </c>
      <c r="T23" s="163">
        <f>SUM(T12:T15)</f>
        <v>216</v>
      </c>
      <c r="U23" s="61">
        <f aca="true" t="shared" si="12" ref="U23:Z23">+U12+U14+U15</f>
        <v>207</v>
      </c>
      <c r="V23" s="61">
        <f t="shared" si="12"/>
        <v>423</v>
      </c>
      <c r="W23" s="61">
        <f t="shared" si="12"/>
        <v>229</v>
      </c>
      <c r="X23" s="61">
        <f t="shared" si="12"/>
        <v>652</v>
      </c>
      <c r="Y23" s="24">
        <f t="shared" si="12"/>
        <v>162</v>
      </c>
      <c r="Z23" s="144">
        <f t="shared" si="12"/>
        <v>814</v>
      </c>
      <c r="AB23" s="163">
        <f>SUM(AB12:AB15)</f>
        <v>216</v>
      </c>
      <c r="AC23" s="61">
        <f aca="true" t="shared" si="13" ref="AC23:AH23">+AC12+AC14+AC15</f>
        <v>207</v>
      </c>
      <c r="AD23" s="61">
        <f t="shared" si="13"/>
        <v>423</v>
      </c>
      <c r="AE23" s="61">
        <f t="shared" si="13"/>
        <v>229</v>
      </c>
      <c r="AF23" s="61">
        <f t="shared" si="13"/>
        <v>652</v>
      </c>
      <c r="AG23" s="24">
        <f t="shared" si="13"/>
        <v>162</v>
      </c>
      <c r="AH23" s="144">
        <f t="shared" si="13"/>
        <v>814</v>
      </c>
      <c r="AJ23" s="163">
        <f>SUM(AJ12:AJ15)</f>
        <v>51</v>
      </c>
      <c r="AK23" s="61">
        <f aca="true" t="shared" si="14" ref="AK23:AP23">+AK12+AK14+AK15</f>
        <v>153</v>
      </c>
      <c r="AL23" s="61">
        <f t="shared" si="14"/>
        <v>204</v>
      </c>
      <c r="AM23" s="61">
        <f t="shared" si="14"/>
        <v>68</v>
      </c>
      <c r="AN23" s="61">
        <f t="shared" si="14"/>
        <v>272</v>
      </c>
      <c r="AO23" s="24">
        <f t="shared" si="14"/>
        <v>989</v>
      </c>
      <c r="AP23" s="144">
        <f t="shared" si="14"/>
        <v>1261</v>
      </c>
      <c r="AR23" s="163">
        <f>SUM(AR12:AR15)</f>
        <v>172</v>
      </c>
      <c r="AS23" s="61">
        <f>SUM(AS12:AS15)</f>
        <v>168</v>
      </c>
      <c r="AT23" s="61">
        <f>SUM(AT12:AT15)</f>
        <v>340</v>
      </c>
      <c r="AU23" s="61">
        <f>SUM(AU12:AU15)</f>
        <v>149</v>
      </c>
      <c r="AV23" s="61">
        <f>SUM(AV12:AV15)</f>
        <v>489</v>
      </c>
      <c r="AW23" s="24">
        <f t="shared" si="1"/>
        <v>164</v>
      </c>
      <c r="AX23" s="144">
        <f>+AX17+AX18+AX22</f>
        <v>653</v>
      </c>
      <c r="AZ23" s="163">
        <f>+AZ17+AZ18+AZ22</f>
        <v>229</v>
      </c>
      <c r="BA23" s="61">
        <f aca="true" t="shared" si="15" ref="BA23:BF23">+BA17+BA18+BA22</f>
        <v>197</v>
      </c>
      <c r="BB23" s="61">
        <f t="shared" si="15"/>
        <v>426</v>
      </c>
      <c r="BC23" s="61">
        <f t="shared" si="15"/>
        <v>221</v>
      </c>
      <c r="BD23" s="304">
        <f t="shared" si="15"/>
        <v>647</v>
      </c>
      <c r="BE23" s="61">
        <f t="shared" si="15"/>
        <v>-647</v>
      </c>
      <c r="BF23" s="299">
        <f t="shared" si="15"/>
        <v>0</v>
      </c>
    </row>
    <row r="24" spans="2:58" s="63" customFormat="1" ht="13.5" customHeight="1">
      <c r="B24" s="298"/>
      <c r="D24" s="163"/>
      <c r="E24" s="61"/>
      <c r="F24" s="61"/>
      <c r="G24" s="61"/>
      <c r="H24" s="61"/>
      <c r="I24" s="24"/>
      <c r="J24" s="144"/>
      <c r="L24" s="163"/>
      <c r="M24" s="61"/>
      <c r="N24" s="61"/>
      <c r="O24" s="61"/>
      <c r="P24" s="61"/>
      <c r="Q24" s="24"/>
      <c r="R24" s="144"/>
      <c r="T24" s="163"/>
      <c r="U24" s="61"/>
      <c r="V24" s="61"/>
      <c r="W24" s="61"/>
      <c r="X24" s="61"/>
      <c r="Y24" s="24"/>
      <c r="Z24" s="144"/>
      <c r="AB24" s="163"/>
      <c r="AC24" s="61"/>
      <c r="AD24" s="61"/>
      <c r="AE24" s="61"/>
      <c r="AF24" s="61"/>
      <c r="AG24" s="24"/>
      <c r="AH24" s="144"/>
      <c r="AJ24" s="163"/>
      <c r="AK24" s="61"/>
      <c r="AL24" s="61"/>
      <c r="AM24" s="61"/>
      <c r="AN24" s="61"/>
      <c r="AO24" s="24"/>
      <c r="AP24" s="144"/>
      <c r="AR24" s="163"/>
      <c r="AS24" s="61"/>
      <c r="AT24" s="61"/>
      <c r="AU24" s="61"/>
      <c r="AV24" s="61"/>
      <c r="AW24" s="24"/>
      <c r="AX24" s="144"/>
      <c r="AZ24" s="163"/>
      <c r="BA24" s="61"/>
      <c r="BB24" s="61"/>
      <c r="BC24" s="61"/>
      <c r="BD24" s="304"/>
      <c r="BE24" s="24"/>
      <c r="BF24" s="144"/>
    </row>
    <row r="25" spans="2:58" ht="12.75">
      <c r="B25" s="189" t="s">
        <v>291</v>
      </c>
      <c r="D25" s="250">
        <v>-20</v>
      </c>
      <c r="E25" s="54">
        <f>+F25-D25</f>
        <v>2</v>
      </c>
      <c r="F25" s="254">
        <v>-18</v>
      </c>
      <c r="G25" s="54">
        <f>+H25-F25</f>
        <v>9</v>
      </c>
      <c r="H25" s="245">
        <v>-9</v>
      </c>
      <c r="I25" s="54">
        <f>+J25-H25</f>
        <v>0</v>
      </c>
      <c r="J25" s="272">
        <v>-9</v>
      </c>
      <c r="L25" s="250">
        <v>-20</v>
      </c>
      <c r="M25" s="54">
        <f>+N25-L25</f>
        <v>2</v>
      </c>
      <c r="N25" s="254">
        <v>-18</v>
      </c>
      <c r="O25" s="54">
        <f>+P25-N25</f>
        <v>9</v>
      </c>
      <c r="P25" s="245">
        <v>-9</v>
      </c>
      <c r="Q25" s="54">
        <f>+R25-P25</f>
        <v>0</v>
      </c>
      <c r="R25" s="272">
        <v>-9</v>
      </c>
      <c r="T25" s="250">
        <v>134</v>
      </c>
      <c r="U25" s="54">
        <f>+V25-T25</f>
        <v>23</v>
      </c>
      <c r="V25" s="254">
        <v>157</v>
      </c>
      <c r="W25" s="54">
        <f>+X25-V25</f>
        <v>-37</v>
      </c>
      <c r="X25" s="245">
        <v>120</v>
      </c>
      <c r="Y25" s="54">
        <f>+Z25-X25</f>
        <v>130</v>
      </c>
      <c r="Z25" s="272">
        <v>250</v>
      </c>
      <c r="AB25" s="250">
        <v>134</v>
      </c>
      <c r="AC25" s="54">
        <f>+AD25-AB25</f>
        <v>23</v>
      </c>
      <c r="AD25" s="254">
        <v>157</v>
      </c>
      <c r="AE25" s="54">
        <f>+AF25-AD25</f>
        <v>-37</v>
      </c>
      <c r="AF25" s="245">
        <v>120</v>
      </c>
      <c r="AG25" s="54">
        <f>+AH25-AF25</f>
        <v>130</v>
      </c>
      <c r="AH25" s="272">
        <v>250</v>
      </c>
      <c r="AJ25" s="250">
        <v>-13</v>
      </c>
      <c r="AK25" s="54">
        <f>+AL25-AJ25</f>
        <v>-35</v>
      </c>
      <c r="AL25" s="254">
        <v>-48</v>
      </c>
      <c r="AM25" s="54">
        <f>+AN25-AL25</f>
        <v>91</v>
      </c>
      <c r="AN25" s="245">
        <v>43</v>
      </c>
      <c r="AO25" s="54">
        <f>+AP25-AN25</f>
        <v>118</v>
      </c>
      <c r="AP25" s="272">
        <v>161</v>
      </c>
      <c r="AR25" s="250">
        <v>-92</v>
      </c>
      <c r="AS25" s="54">
        <f>+AT25-AR25</f>
        <v>15</v>
      </c>
      <c r="AT25" s="254">
        <v>-77</v>
      </c>
      <c r="AU25" s="54">
        <f>+AV25-AT25</f>
        <v>-56</v>
      </c>
      <c r="AV25" s="245">
        <v>-133</v>
      </c>
      <c r="AW25" s="54">
        <f t="shared" si="1"/>
        <v>-33</v>
      </c>
      <c r="AX25" s="272">
        <v>-166</v>
      </c>
      <c r="AZ25" s="250">
        <v>-98</v>
      </c>
      <c r="BA25" s="54">
        <f>+BB25-AZ25</f>
        <v>-63</v>
      </c>
      <c r="BB25" s="254">
        <v>-161</v>
      </c>
      <c r="BC25" s="54">
        <f>+BD25-BB25</f>
        <v>-35</v>
      </c>
      <c r="BD25" s="245">
        <v>-196</v>
      </c>
      <c r="BE25" s="54">
        <f>+BF25-BD25</f>
        <v>196</v>
      </c>
      <c r="BF25" s="272"/>
    </row>
    <row r="26" spans="2:58" ht="12.75">
      <c r="B26" s="189" t="s">
        <v>382</v>
      </c>
      <c r="D26" s="250">
        <v>-120</v>
      </c>
      <c r="E26" s="54">
        <f aca="true" t="shared" si="16" ref="E26:G27">+F26-D26</f>
        <v>-128</v>
      </c>
      <c r="F26" s="254">
        <v>-248</v>
      </c>
      <c r="G26" s="54">
        <f t="shared" si="16"/>
        <v>-127</v>
      </c>
      <c r="H26" s="245">
        <v>-375</v>
      </c>
      <c r="I26" s="54">
        <f>+J26-H26</f>
        <v>-181</v>
      </c>
      <c r="J26" s="272">
        <v>-556</v>
      </c>
      <c r="L26" s="250">
        <v>-116</v>
      </c>
      <c r="M26" s="54">
        <f>+N26-L26</f>
        <v>-121</v>
      </c>
      <c r="N26" s="254">
        <f>-162-42-33</f>
        <v>-237</v>
      </c>
      <c r="O26" s="54">
        <f>+P26-N26</f>
        <v>-123</v>
      </c>
      <c r="P26" s="245">
        <f>-244-63-53</f>
        <v>-360</v>
      </c>
      <c r="Q26" s="54">
        <f>+R26-P26</f>
        <v>-176</v>
      </c>
      <c r="R26" s="272">
        <f>-345-84-107</f>
        <v>-536</v>
      </c>
      <c r="T26" s="250">
        <v>-129</v>
      </c>
      <c r="U26" s="54">
        <f>+V26-T26</f>
        <v>-117</v>
      </c>
      <c r="V26" s="254">
        <f>-170-39-37</f>
        <v>-246</v>
      </c>
      <c r="W26" s="54">
        <f>+X26-V26</f>
        <v>-123</v>
      </c>
      <c r="X26" s="245">
        <f>-255-57-57</f>
        <v>-369</v>
      </c>
      <c r="Y26" s="54">
        <f>+Z26-X26</f>
        <v>-152</v>
      </c>
      <c r="Z26" s="272">
        <f>-354-82-85</f>
        <v>-521</v>
      </c>
      <c r="AB26" s="250">
        <f>-86-20-23</f>
        <v>-129</v>
      </c>
      <c r="AC26" s="54">
        <f>+AD26-AB26</f>
        <v>-117</v>
      </c>
      <c r="AD26" s="254">
        <f>-170-39-37</f>
        <v>-246</v>
      </c>
      <c r="AE26" s="54">
        <f>+AF26-AD26</f>
        <v>-124</v>
      </c>
      <c r="AF26" s="245">
        <v>-370</v>
      </c>
      <c r="AG26" s="54">
        <f>+AH26-AF26</f>
        <v>-151</v>
      </c>
      <c r="AH26" s="272">
        <f>-354-67-82-18</f>
        <v>-521</v>
      </c>
      <c r="AJ26" s="250">
        <f>-90-16-44</f>
        <v>-150</v>
      </c>
      <c r="AK26" s="54">
        <f>+AL26-AJ26</f>
        <v>-139</v>
      </c>
      <c r="AL26" s="254">
        <f>-182-30-77</f>
        <v>-289</v>
      </c>
      <c r="AM26" s="54">
        <f>+AN26-AL26</f>
        <v>-150</v>
      </c>
      <c r="AN26" s="245">
        <f>-269-51-119</f>
        <v>-439</v>
      </c>
      <c r="AO26" s="54">
        <f>+AP26-AN26</f>
        <v>-221</v>
      </c>
      <c r="AP26" s="272">
        <f>-428-139-76-17</f>
        <v>-660</v>
      </c>
      <c r="AR26" s="250">
        <f>-73-25-13-3</f>
        <v>-114</v>
      </c>
      <c r="AS26" s="54">
        <f aca="true" t="shared" si="17" ref="AS26:AU28">+AT26-AR26</f>
        <v>-127</v>
      </c>
      <c r="AT26" s="254">
        <f>-166-41-26-8</f>
        <v>-241</v>
      </c>
      <c r="AU26" s="54">
        <f t="shared" si="17"/>
        <v>-119</v>
      </c>
      <c r="AV26" s="245">
        <f>-251-57-40-12</f>
        <v>-360</v>
      </c>
      <c r="AW26" s="54">
        <f t="shared" si="1"/>
        <v>-118</v>
      </c>
      <c r="AX26" s="272">
        <f>-348-68-45-17</f>
        <v>-478</v>
      </c>
      <c r="AZ26" s="250">
        <v>-122</v>
      </c>
      <c r="BA26" s="54">
        <f>+BB26-AZ26</f>
        <v>-118</v>
      </c>
      <c r="BB26" s="254">
        <v>-240</v>
      </c>
      <c r="BC26" s="54">
        <f>+BD26-BB26</f>
        <v>-121</v>
      </c>
      <c r="BD26" s="245">
        <v>-361</v>
      </c>
      <c r="BE26" s="54">
        <f>+BF26-BD26</f>
        <v>361</v>
      </c>
      <c r="BF26" s="272"/>
    </row>
    <row r="27" spans="2:58" ht="12.75">
      <c r="B27" s="189" t="s">
        <v>383</v>
      </c>
      <c r="D27" s="250">
        <v>-2</v>
      </c>
      <c r="E27" s="54">
        <f t="shared" si="16"/>
        <v>-47</v>
      </c>
      <c r="F27" s="254">
        <v>-49</v>
      </c>
      <c r="G27" s="54">
        <f t="shared" si="16"/>
        <v>1</v>
      </c>
      <c r="H27" s="245">
        <v>-48</v>
      </c>
      <c r="I27" s="54">
        <f>+J27-H27</f>
        <v>-52</v>
      </c>
      <c r="J27" s="272">
        <v>-100</v>
      </c>
      <c r="L27" s="250">
        <v>-2</v>
      </c>
      <c r="M27" s="54">
        <f>+N27-L27</f>
        <v>-47</v>
      </c>
      <c r="N27" s="254">
        <f>-46-3</f>
        <v>-49</v>
      </c>
      <c r="O27" s="54">
        <f>+P27-N27</f>
        <v>1</v>
      </c>
      <c r="P27" s="245">
        <f>-46-2</f>
        <v>-48</v>
      </c>
      <c r="Q27" s="54">
        <f>+R27-P27</f>
        <v>-52</v>
      </c>
      <c r="R27" s="272">
        <f>-95-5</f>
        <v>-100</v>
      </c>
      <c r="T27" s="250">
        <v>-1</v>
      </c>
      <c r="U27" s="54">
        <f>+V27-T27</f>
        <v>0</v>
      </c>
      <c r="V27" s="254">
        <v>-1</v>
      </c>
      <c r="W27" s="54">
        <f>+X27-V27</f>
        <v>0</v>
      </c>
      <c r="X27" s="245">
        <v>-1</v>
      </c>
      <c r="Y27" s="54">
        <f>+Z27-X27</f>
        <v>-239</v>
      </c>
      <c r="Z27" s="272">
        <f>-40-39-161</f>
        <v>-240</v>
      </c>
      <c r="AB27" s="250">
        <v>-1</v>
      </c>
      <c r="AC27" s="54">
        <f>+AD27-AB27</f>
        <v>0</v>
      </c>
      <c r="AD27" s="254">
        <v>-1</v>
      </c>
      <c r="AE27" s="54">
        <f>+AF27-AD27</f>
        <v>1</v>
      </c>
      <c r="AF27" s="245">
        <v>0</v>
      </c>
      <c r="AG27" s="54">
        <f>+AH27-AF27</f>
        <v>-240</v>
      </c>
      <c r="AH27" s="272">
        <f>-40-39-161</f>
        <v>-240</v>
      </c>
      <c r="AJ27" s="250">
        <v>0</v>
      </c>
      <c r="AK27" s="54">
        <f>+AL27-AJ27</f>
        <v>-11</v>
      </c>
      <c r="AL27" s="254">
        <v>-11</v>
      </c>
      <c r="AM27" s="54">
        <f>+AN27-AL27</f>
        <v>0</v>
      </c>
      <c r="AN27" s="245">
        <v>-11</v>
      </c>
      <c r="AO27" s="54">
        <f>+AP27-AN27</f>
        <v>-1523</v>
      </c>
      <c r="AP27" s="272">
        <f>-656-219-2-657</f>
        <v>-1534</v>
      </c>
      <c r="AR27" s="250"/>
      <c r="AS27" s="54"/>
      <c r="AT27" s="254"/>
      <c r="AU27" s="54"/>
      <c r="AV27" s="245"/>
      <c r="AW27" s="54"/>
      <c r="AX27" s="272">
        <f>-219-37</f>
        <v>-256</v>
      </c>
      <c r="AZ27" s="250"/>
      <c r="BA27" s="54"/>
      <c r="BB27" s="254"/>
      <c r="BC27" s="54"/>
      <c r="BD27" s="245"/>
      <c r="BE27" s="54"/>
      <c r="BF27" s="272"/>
    </row>
    <row r="28" spans="2:58" ht="12.75">
      <c r="B28" s="189" t="s">
        <v>292</v>
      </c>
      <c r="D28" s="250"/>
      <c r="E28" s="54"/>
      <c r="F28" s="254"/>
      <c r="G28" s="54"/>
      <c r="H28" s="245"/>
      <c r="I28" s="54"/>
      <c r="J28" s="272"/>
      <c r="L28" s="250"/>
      <c r="M28" s="54"/>
      <c r="N28" s="254"/>
      <c r="O28" s="54"/>
      <c r="P28" s="245"/>
      <c r="Q28" s="54">
        <f>+R28-P28</f>
        <v>-4</v>
      </c>
      <c r="R28" s="272">
        <v>-4</v>
      </c>
      <c r="T28" s="250"/>
      <c r="U28" s="54"/>
      <c r="V28" s="254"/>
      <c r="W28" s="54"/>
      <c r="X28" s="245"/>
      <c r="Y28" s="54">
        <f>+Z28-X28</f>
        <v>-11</v>
      </c>
      <c r="Z28" s="272">
        <v>-11</v>
      </c>
      <c r="AB28" s="250">
        <v>-2</v>
      </c>
      <c r="AC28" s="54">
        <f>+AD28-AB28</f>
        <v>-7</v>
      </c>
      <c r="AD28" s="254">
        <v>-9</v>
      </c>
      <c r="AE28" s="54">
        <f>+AF28-AD28</f>
        <v>-6</v>
      </c>
      <c r="AF28" s="245">
        <v>-15</v>
      </c>
      <c r="AG28" s="54">
        <f>+AH28-AF28</f>
        <v>4</v>
      </c>
      <c r="AH28" s="272">
        <v>-11</v>
      </c>
      <c r="AJ28" s="250">
        <v>-7</v>
      </c>
      <c r="AK28" s="54">
        <f>+AL28-AJ28</f>
        <v>-4</v>
      </c>
      <c r="AL28" s="254">
        <v>-11</v>
      </c>
      <c r="AM28" s="54">
        <f>+AN28-AL28</f>
        <v>-11</v>
      </c>
      <c r="AN28" s="245">
        <v>-22</v>
      </c>
      <c r="AO28" s="54">
        <f>+AP28-AN28</f>
        <v>-1</v>
      </c>
      <c r="AP28" s="272">
        <v>-23</v>
      </c>
      <c r="AR28" s="250">
        <v>0</v>
      </c>
      <c r="AS28" s="54">
        <f t="shared" si="17"/>
        <v>-1</v>
      </c>
      <c r="AT28" s="254">
        <v>-1</v>
      </c>
      <c r="AU28" s="54">
        <f t="shared" si="17"/>
        <v>-5</v>
      </c>
      <c r="AV28" s="245">
        <v>-6</v>
      </c>
      <c r="AW28" s="54">
        <f t="shared" si="1"/>
        <v>-7</v>
      </c>
      <c r="AX28" s="272">
        <v>-13</v>
      </c>
      <c r="AZ28" s="250">
        <v>-1</v>
      </c>
      <c r="BA28" s="54">
        <f>+BB28-AZ28</f>
        <v>-5</v>
      </c>
      <c r="BB28" s="254">
        <v>-6</v>
      </c>
      <c r="BC28" s="54">
        <f>+BD28-BB28</f>
        <v>0</v>
      </c>
      <c r="BD28" s="245">
        <v>-6</v>
      </c>
      <c r="BE28" s="54">
        <f>+BF28-BD28</f>
        <v>6</v>
      </c>
      <c r="BF28" s="272"/>
    </row>
    <row r="29" spans="2:58" ht="12.75">
      <c r="B29" s="189"/>
      <c r="D29" s="180"/>
      <c r="E29" s="54"/>
      <c r="G29" s="54"/>
      <c r="I29" s="54"/>
      <c r="J29" s="272"/>
      <c r="L29" s="180"/>
      <c r="M29" s="54"/>
      <c r="O29" s="54"/>
      <c r="Q29" s="54"/>
      <c r="R29" s="272"/>
      <c r="T29" s="180"/>
      <c r="U29" s="54"/>
      <c r="W29" s="54"/>
      <c r="Y29" s="54"/>
      <c r="Z29" s="272"/>
      <c r="AB29" s="180"/>
      <c r="AC29" s="54"/>
      <c r="AE29" s="54"/>
      <c r="AG29" s="54"/>
      <c r="AH29" s="272"/>
      <c r="AJ29" s="180"/>
      <c r="AK29" s="54"/>
      <c r="AM29" s="54"/>
      <c r="AO29" s="54"/>
      <c r="AP29" s="272"/>
      <c r="AR29" s="180"/>
      <c r="AS29" s="54"/>
      <c r="AU29" s="54"/>
      <c r="AW29" s="54"/>
      <c r="AX29" s="272"/>
      <c r="AZ29" s="180"/>
      <c r="BA29" s="54"/>
      <c r="BC29" s="54"/>
      <c r="BD29" s="183"/>
      <c r="BE29" s="54"/>
      <c r="BF29" s="272"/>
    </row>
    <row r="30" spans="2:58" s="63" customFormat="1" ht="13.5" customHeight="1">
      <c r="B30" s="154" t="s">
        <v>128</v>
      </c>
      <c r="D30" s="163">
        <f>+SUM(D23:D28)</f>
        <v>-140</v>
      </c>
      <c r="E30" s="61">
        <f aca="true" t="shared" si="18" ref="E30:J30">+SUM(E23:E28)</f>
        <v>495</v>
      </c>
      <c r="F30" s="61">
        <f t="shared" si="18"/>
        <v>355</v>
      </c>
      <c r="G30" s="61">
        <f t="shared" si="18"/>
        <v>56</v>
      </c>
      <c r="H30" s="61">
        <f t="shared" si="18"/>
        <v>411</v>
      </c>
      <c r="I30" s="61">
        <f t="shared" si="18"/>
        <v>-67</v>
      </c>
      <c r="J30" s="299">
        <f t="shared" si="18"/>
        <v>344</v>
      </c>
      <c r="L30" s="163">
        <f>+SUM(L23:L28)</f>
        <v>-144</v>
      </c>
      <c r="M30" s="61">
        <f aca="true" t="shared" si="19" ref="M30:R30">+SUM(M23:M28)</f>
        <v>495</v>
      </c>
      <c r="N30" s="61">
        <f t="shared" si="19"/>
        <v>351</v>
      </c>
      <c r="O30" s="61">
        <f t="shared" si="19"/>
        <v>48</v>
      </c>
      <c r="P30" s="61">
        <f t="shared" si="19"/>
        <v>399</v>
      </c>
      <c r="Q30" s="24">
        <f t="shared" si="19"/>
        <v>-78</v>
      </c>
      <c r="R30" s="144">
        <f t="shared" si="19"/>
        <v>321</v>
      </c>
      <c r="T30" s="163">
        <f>+SUM(T23:T28)</f>
        <v>220</v>
      </c>
      <c r="U30" s="61">
        <f aca="true" t="shared" si="20" ref="U30:Z30">+SUM(U23:U28)</f>
        <v>113</v>
      </c>
      <c r="V30" s="61">
        <f t="shared" si="20"/>
        <v>333</v>
      </c>
      <c r="W30" s="61">
        <f t="shared" si="20"/>
        <v>69</v>
      </c>
      <c r="X30" s="61">
        <f t="shared" si="20"/>
        <v>402</v>
      </c>
      <c r="Y30" s="24">
        <f t="shared" si="20"/>
        <v>-110</v>
      </c>
      <c r="Z30" s="144">
        <f t="shared" si="20"/>
        <v>292</v>
      </c>
      <c r="AB30" s="163">
        <f>+SUM(AB23:AB28)</f>
        <v>218</v>
      </c>
      <c r="AC30" s="61">
        <f aca="true" t="shared" si="21" ref="AC30:AH30">+SUM(AC23:AC28)</f>
        <v>106</v>
      </c>
      <c r="AD30" s="61">
        <f t="shared" si="21"/>
        <v>324</v>
      </c>
      <c r="AE30" s="61">
        <f t="shared" si="21"/>
        <v>63</v>
      </c>
      <c r="AF30" s="61">
        <f t="shared" si="21"/>
        <v>387</v>
      </c>
      <c r="AG30" s="24">
        <f t="shared" si="21"/>
        <v>-95</v>
      </c>
      <c r="AH30" s="144">
        <f t="shared" si="21"/>
        <v>292</v>
      </c>
      <c r="AJ30" s="163">
        <f>+SUM(AJ23:AJ28)</f>
        <v>-119</v>
      </c>
      <c r="AK30" s="61">
        <f aca="true" t="shared" si="22" ref="AK30:AP30">+SUM(AK23:AK28)</f>
        <v>-36</v>
      </c>
      <c r="AL30" s="61">
        <f t="shared" si="22"/>
        <v>-155</v>
      </c>
      <c r="AM30" s="61">
        <f t="shared" si="22"/>
        <v>-2</v>
      </c>
      <c r="AN30" s="61">
        <f t="shared" si="22"/>
        <v>-157</v>
      </c>
      <c r="AO30" s="24">
        <f t="shared" si="22"/>
        <v>-638</v>
      </c>
      <c r="AP30" s="144">
        <f t="shared" si="22"/>
        <v>-795</v>
      </c>
      <c r="AR30" s="163">
        <f>+SUM(AR23:AR28)</f>
        <v>-34</v>
      </c>
      <c r="AS30" s="61">
        <f aca="true" t="shared" si="23" ref="AS30:AX30">+SUM(AS23:AS28)</f>
        <v>55</v>
      </c>
      <c r="AT30" s="61">
        <f t="shared" si="23"/>
        <v>21</v>
      </c>
      <c r="AU30" s="61">
        <f t="shared" si="23"/>
        <v>-31</v>
      </c>
      <c r="AV30" s="61">
        <f t="shared" si="23"/>
        <v>-10</v>
      </c>
      <c r="AW30" s="24">
        <f t="shared" si="23"/>
        <v>6</v>
      </c>
      <c r="AX30" s="144">
        <f t="shared" si="23"/>
        <v>-260</v>
      </c>
      <c r="AZ30" s="163">
        <f>+AZ23+AZ25+AZ26+AZ28</f>
        <v>8</v>
      </c>
      <c r="BA30" s="61">
        <f aca="true" t="shared" si="24" ref="BA30:BF30">+SUM(BA23:BA28)</f>
        <v>11</v>
      </c>
      <c r="BB30" s="61">
        <f t="shared" si="24"/>
        <v>19</v>
      </c>
      <c r="BC30" s="61">
        <f t="shared" si="24"/>
        <v>65</v>
      </c>
      <c r="BD30" s="304">
        <f t="shared" si="24"/>
        <v>84</v>
      </c>
      <c r="BE30" s="24">
        <f t="shared" si="24"/>
        <v>-84</v>
      </c>
      <c r="BF30" s="144">
        <f t="shared" si="24"/>
        <v>0</v>
      </c>
    </row>
    <row r="31" spans="2:58" s="63" customFormat="1" ht="13.5" customHeight="1">
      <c r="B31" s="154"/>
      <c r="D31" s="163"/>
      <c r="E31" s="61"/>
      <c r="F31" s="61"/>
      <c r="G31" s="61"/>
      <c r="H31" s="61"/>
      <c r="I31" s="54"/>
      <c r="J31" s="144"/>
      <c r="L31" s="163"/>
      <c r="M31" s="61"/>
      <c r="N31" s="61"/>
      <c r="O31" s="61"/>
      <c r="P31" s="61"/>
      <c r="Q31" s="54"/>
      <c r="R31" s="144"/>
      <c r="T31" s="163"/>
      <c r="U31" s="61"/>
      <c r="V31" s="61"/>
      <c r="W31" s="61"/>
      <c r="X31" s="61"/>
      <c r="Y31" s="54"/>
      <c r="Z31" s="144"/>
      <c r="AB31" s="163"/>
      <c r="AC31" s="61"/>
      <c r="AD31" s="61"/>
      <c r="AE31" s="61"/>
      <c r="AF31" s="61"/>
      <c r="AG31" s="54"/>
      <c r="AH31" s="144"/>
      <c r="AJ31" s="163"/>
      <c r="AK31" s="61"/>
      <c r="AL31" s="61"/>
      <c r="AM31" s="61"/>
      <c r="AN31" s="61"/>
      <c r="AO31" s="54"/>
      <c r="AP31" s="144"/>
      <c r="AR31" s="163"/>
      <c r="AS31" s="61"/>
      <c r="AT31" s="61"/>
      <c r="AU31" s="61"/>
      <c r="AV31" s="61"/>
      <c r="AW31" s="54"/>
      <c r="AX31" s="144"/>
      <c r="AZ31" s="163"/>
      <c r="BA31" s="61"/>
      <c r="BB31" s="61"/>
      <c r="BC31" s="61"/>
      <c r="BD31" s="304"/>
      <c r="BE31" s="54"/>
      <c r="BF31" s="144"/>
    </row>
    <row r="32" spans="2:58" s="60" customFormat="1" ht="11.25" customHeight="1">
      <c r="B32" s="152" t="s">
        <v>129</v>
      </c>
      <c r="D32" s="248">
        <v>-5</v>
      </c>
      <c r="E32" s="54">
        <f>+F32-D32</f>
        <v>-36</v>
      </c>
      <c r="F32" s="191">
        <v>-41</v>
      </c>
      <c r="G32" s="20">
        <f>+H32-F32</f>
        <v>-33</v>
      </c>
      <c r="H32" s="247">
        <v>-74</v>
      </c>
      <c r="I32" s="54">
        <f aca="true" t="shared" si="25" ref="I32:I41">+J32-H32</f>
        <v>-41</v>
      </c>
      <c r="J32" s="272">
        <v>-115</v>
      </c>
      <c r="L32" s="248">
        <v>-4</v>
      </c>
      <c r="M32" s="54">
        <f>+N32-L32</f>
        <v>-35</v>
      </c>
      <c r="N32" s="191">
        <v>-39</v>
      </c>
      <c r="O32" s="20">
        <f>+P32-N32</f>
        <v>-32</v>
      </c>
      <c r="P32" s="247">
        <v>-71</v>
      </c>
      <c r="Q32" s="54">
        <f>+R32-P32</f>
        <v>-41</v>
      </c>
      <c r="R32" s="272">
        <v>-112</v>
      </c>
      <c r="T32" s="248">
        <v>-32</v>
      </c>
      <c r="U32" s="54">
        <f>+V32-T32</f>
        <v>-50</v>
      </c>
      <c r="V32" s="191">
        <v>-82</v>
      </c>
      <c r="W32" s="20">
        <f>+X32-V32</f>
        <v>-17</v>
      </c>
      <c r="X32" s="247">
        <v>-99</v>
      </c>
      <c r="Y32" s="54">
        <f>+Z32-X32</f>
        <v>8</v>
      </c>
      <c r="Z32" s="272">
        <v>-91</v>
      </c>
      <c r="AB32" s="248">
        <v>-32</v>
      </c>
      <c r="AC32" s="54">
        <f>+AD32-AB32</f>
        <v>-50</v>
      </c>
      <c r="AD32" s="191">
        <v>-82</v>
      </c>
      <c r="AE32" s="20">
        <f>+AF32-AD32</f>
        <v>-17</v>
      </c>
      <c r="AF32" s="247">
        <v>-99</v>
      </c>
      <c r="AG32" s="54">
        <f>+AH32-AF32</f>
        <v>8</v>
      </c>
      <c r="AH32" s="272">
        <v>-91</v>
      </c>
      <c r="AJ32" s="248">
        <v>31</v>
      </c>
      <c r="AK32" s="54">
        <f>+AL32-AJ32</f>
        <v>-25</v>
      </c>
      <c r="AL32" s="191">
        <v>6</v>
      </c>
      <c r="AM32" s="20">
        <f>+AN32-AL32</f>
        <v>-28</v>
      </c>
      <c r="AN32" s="247">
        <v>-22</v>
      </c>
      <c r="AO32" s="54">
        <f>+AP32-AN32</f>
        <v>-7</v>
      </c>
      <c r="AP32" s="272">
        <v>-29</v>
      </c>
      <c r="AR32" s="248">
        <v>-30</v>
      </c>
      <c r="AS32" s="54">
        <f>+AT32-AR32</f>
        <v>-30</v>
      </c>
      <c r="AT32" s="191">
        <v>-60</v>
      </c>
      <c r="AU32" s="20">
        <f>+AV32-AT32</f>
        <v>-9</v>
      </c>
      <c r="AV32" s="247">
        <v>-69</v>
      </c>
      <c r="AW32" s="54">
        <f t="shared" si="1"/>
        <v>-25</v>
      </c>
      <c r="AX32" s="272">
        <v>-94</v>
      </c>
      <c r="AZ32" s="248">
        <v>-13</v>
      </c>
      <c r="BA32" s="54">
        <f>+BB32-AZ32</f>
        <v>-20</v>
      </c>
      <c r="BB32" s="191">
        <v>-33</v>
      </c>
      <c r="BC32" s="20">
        <f>+BD32-BB32</f>
        <v>-13</v>
      </c>
      <c r="BD32" s="247">
        <v>-46</v>
      </c>
      <c r="BE32" s="54">
        <f aca="true" t="shared" si="26" ref="BE32:BE41">+BF32-BD32</f>
        <v>46</v>
      </c>
      <c r="BF32" s="272"/>
    </row>
    <row r="33" spans="2:58" s="60" customFormat="1" ht="12.75">
      <c r="B33" s="155" t="s">
        <v>130</v>
      </c>
      <c r="D33" s="248">
        <v>1</v>
      </c>
      <c r="E33" s="54">
        <f>+F33-D33</f>
        <v>1</v>
      </c>
      <c r="F33" s="191">
        <v>2</v>
      </c>
      <c r="G33" s="54">
        <f>+H33-F33</f>
        <v>0</v>
      </c>
      <c r="H33" s="247">
        <v>2</v>
      </c>
      <c r="I33" s="54">
        <f t="shared" si="25"/>
        <v>1</v>
      </c>
      <c r="J33" s="272">
        <v>3</v>
      </c>
      <c r="L33" s="248">
        <v>2</v>
      </c>
      <c r="M33" s="54">
        <f>+N33-L33</f>
        <v>-1</v>
      </c>
      <c r="N33" s="191">
        <v>1</v>
      </c>
      <c r="O33" s="54">
        <f>+P33-N33</f>
        <v>4</v>
      </c>
      <c r="P33" s="247">
        <v>5</v>
      </c>
      <c r="Q33" s="54">
        <f>+R33-P33</f>
        <v>3</v>
      </c>
      <c r="R33" s="272">
        <v>8</v>
      </c>
      <c r="T33" s="248">
        <v>4</v>
      </c>
      <c r="U33" s="54">
        <f>+V33-T33</f>
        <v>3</v>
      </c>
      <c r="V33" s="191">
        <v>7</v>
      </c>
      <c r="W33" s="54">
        <f>+X33-V33</f>
        <v>4</v>
      </c>
      <c r="X33" s="247">
        <v>11</v>
      </c>
      <c r="Y33" s="54">
        <f>+Z33-X33</f>
        <v>2</v>
      </c>
      <c r="Z33" s="272">
        <v>13</v>
      </c>
      <c r="AB33" s="248">
        <v>4</v>
      </c>
      <c r="AC33" s="54">
        <f>+AD33-AB33</f>
        <v>3</v>
      </c>
      <c r="AD33" s="191">
        <v>7</v>
      </c>
      <c r="AE33" s="54">
        <f>+AF33-AD33</f>
        <v>4</v>
      </c>
      <c r="AF33" s="247">
        <v>11</v>
      </c>
      <c r="AG33" s="54">
        <f>+AH33-AF33</f>
        <v>2</v>
      </c>
      <c r="AH33" s="272">
        <v>13</v>
      </c>
      <c r="AJ33" s="248">
        <v>-2</v>
      </c>
      <c r="AK33" s="54">
        <f>+AL33-AJ33</f>
        <v>-1</v>
      </c>
      <c r="AL33" s="191">
        <v>-3</v>
      </c>
      <c r="AM33" s="54">
        <f>+AN33-AL33</f>
        <v>2</v>
      </c>
      <c r="AN33" s="247">
        <v>-1</v>
      </c>
      <c r="AO33" s="54">
        <f>+AP33-AN33</f>
        <v>-37</v>
      </c>
      <c r="AP33" s="272">
        <v>-38</v>
      </c>
      <c r="AR33" s="248">
        <v>-3</v>
      </c>
      <c r="AS33" s="54">
        <f>+AT33-AR33</f>
        <v>6</v>
      </c>
      <c r="AT33" s="191">
        <v>3</v>
      </c>
      <c r="AU33" s="54">
        <f>+AV33-AT33</f>
        <v>4</v>
      </c>
      <c r="AV33" s="247">
        <v>7</v>
      </c>
      <c r="AW33" s="54">
        <f t="shared" si="1"/>
        <v>0</v>
      </c>
      <c r="AX33" s="272">
        <v>7</v>
      </c>
      <c r="AZ33" s="248">
        <v>9</v>
      </c>
      <c r="BA33" s="54">
        <f>+BB33-AZ33</f>
        <v>-52</v>
      </c>
      <c r="BB33" s="191">
        <v>-43</v>
      </c>
      <c r="BC33" s="54">
        <f>+BD33-BB33</f>
        <v>-1</v>
      </c>
      <c r="BD33" s="247">
        <v>-44</v>
      </c>
      <c r="BE33" s="54">
        <f t="shared" si="26"/>
        <v>44</v>
      </c>
      <c r="BF33" s="272"/>
    </row>
    <row r="34" spans="2:58" s="60" customFormat="1" ht="12.75">
      <c r="B34" s="155" t="s">
        <v>131</v>
      </c>
      <c r="D34" s="248">
        <v>0</v>
      </c>
      <c r="E34" s="54">
        <f>+F34-D34</f>
        <v>-27</v>
      </c>
      <c r="F34" s="191">
        <v>-27</v>
      </c>
      <c r="G34" s="54">
        <f>+H34-F34</f>
        <v>0</v>
      </c>
      <c r="H34" s="247">
        <v>-27</v>
      </c>
      <c r="I34" s="54">
        <f t="shared" si="25"/>
        <v>23</v>
      </c>
      <c r="J34" s="272">
        <v>-4</v>
      </c>
      <c r="L34" s="248">
        <v>0</v>
      </c>
      <c r="M34" s="54">
        <f>+N34-L34</f>
        <v>-27</v>
      </c>
      <c r="N34" s="191">
        <v>-27</v>
      </c>
      <c r="O34" s="54">
        <f>+P34-N34</f>
        <v>0</v>
      </c>
      <c r="P34" s="247">
        <v>-27</v>
      </c>
      <c r="Q34" s="54">
        <f>+R34-P34</f>
        <v>27</v>
      </c>
      <c r="R34" s="272"/>
      <c r="T34" s="248">
        <v>-2</v>
      </c>
      <c r="U34" s="54">
        <f>+V34-T34</f>
        <v>-7</v>
      </c>
      <c r="V34" s="191">
        <v>-9</v>
      </c>
      <c r="W34" s="54">
        <f>+X34-V34</f>
        <v>-6</v>
      </c>
      <c r="X34" s="247">
        <v>-15</v>
      </c>
      <c r="Y34" s="54">
        <f>+Z34-X34</f>
        <v>15</v>
      </c>
      <c r="Z34" s="272"/>
      <c r="AB34" s="248"/>
      <c r="AC34" s="54">
        <f>+AD34-AB34</f>
        <v>0</v>
      </c>
      <c r="AD34" s="191"/>
      <c r="AE34" s="54">
        <f>+AF34-AD34</f>
        <v>0</v>
      </c>
      <c r="AF34" s="247"/>
      <c r="AG34" s="54">
        <f>+AH34-AF34</f>
        <v>0</v>
      </c>
      <c r="AH34" s="272"/>
      <c r="AJ34" s="248"/>
      <c r="AK34" s="54">
        <f>+AL34-AJ34</f>
        <v>0</v>
      </c>
      <c r="AL34" s="191"/>
      <c r="AM34" s="54">
        <f>+AN34-AL34</f>
        <v>0</v>
      </c>
      <c r="AN34" s="247"/>
      <c r="AO34" s="54">
        <f>+AP34-AN34</f>
        <v>0</v>
      </c>
      <c r="AP34" s="272"/>
      <c r="AR34" s="248">
        <v>0</v>
      </c>
      <c r="AS34" s="54">
        <f>+AT34-AR34</f>
        <v>0</v>
      </c>
      <c r="AT34" s="191">
        <v>0</v>
      </c>
      <c r="AU34" s="54">
        <f>+AV34-AT34</f>
        <v>0</v>
      </c>
      <c r="AV34" s="247">
        <v>0</v>
      </c>
      <c r="AW34" s="54">
        <f t="shared" si="1"/>
        <v>0</v>
      </c>
      <c r="AX34" s="272">
        <v>0</v>
      </c>
      <c r="AZ34" s="248">
        <v>0</v>
      </c>
      <c r="BA34" s="54">
        <f>+BB34-AZ34</f>
        <v>0</v>
      </c>
      <c r="BB34" s="191">
        <v>0</v>
      </c>
      <c r="BC34" s="54">
        <f>+BD34-BB34</f>
        <v>0</v>
      </c>
      <c r="BD34" s="247">
        <v>0</v>
      </c>
      <c r="BE34" s="54">
        <f t="shared" si="26"/>
        <v>0</v>
      </c>
      <c r="BF34" s="272"/>
    </row>
    <row r="35" spans="2:58" s="63" customFormat="1" ht="13.5" customHeight="1">
      <c r="B35" s="154" t="s">
        <v>132</v>
      </c>
      <c r="D35" s="163">
        <f>+D30+D32+D33+D34</f>
        <v>-144</v>
      </c>
      <c r="E35" s="61">
        <f>+E30+E32+E33+E34</f>
        <v>433</v>
      </c>
      <c r="F35" s="61">
        <f>+F30+F32+F33+F34</f>
        <v>289</v>
      </c>
      <c r="G35" s="61">
        <f>+G30+G32+G33+G34</f>
        <v>23</v>
      </c>
      <c r="H35" s="61">
        <f>+H30+H32+H33+H34</f>
        <v>312</v>
      </c>
      <c r="I35" s="24">
        <f t="shared" si="25"/>
        <v>-84</v>
      </c>
      <c r="J35" s="145">
        <f>+J30+J32+J33+J34</f>
        <v>228</v>
      </c>
      <c r="L35" s="163">
        <f aca="true" t="shared" si="27" ref="L35:R35">+L30+L32+L33+L34</f>
        <v>-146</v>
      </c>
      <c r="M35" s="61">
        <f t="shared" si="27"/>
        <v>432</v>
      </c>
      <c r="N35" s="61">
        <f t="shared" si="27"/>
        <v>286</v>
      </c>
      <c r="O35" s="61">
        <f t="shared" si="27"/>
        <v>20</v>
      </c>
      <c r="P35" s="61">
        <f t="shared" si="27"/>
        <v>306</v>
      </c>
      <c r="Q35" s="24">
        <f t="shared" si="27"/>
        <v>-89</v>
      </c>
      <c r="R35" s="145">
        <f t="shared" si="27"/>
        <v>217</v>
      </c>
      <c r="T35" s="163">
        <f aca="true" t="shared" si="28" ref="T35:Z35">+T30+T32+T33+T34</f>
        <v>190</v>
      </c>
      <c r="U35" s="61">
        <f t="shared" si="28"/>
        <v>59</v>
      </c>
      <c r="V35" s="61">
        <f t="shared" si="28"/>
        <v>249</v>
      </c>
      <c r="W35" s="61">
        <f t="shared" si="28"/>
        <v>50</v>
      </c>
      <c r="X35" s="61">
        <f t="shared" si="28"/>
        <v>299</v>
      </c>
      <c r="Y35" s="24">
        <f t="shared" si="28"/>
        <v>-85</v>
      </c>
      <c r="Z35" s="145">
        <f t="shared" si="28"/>
        <v>214</v>
      </c>
      <c r="AB35" s="163">
        <f aca="true" t="shared" si="29" ref="AB35:AH35">+AB30+AB32+AB33+AB34</f>
        <v>190</v>
      </c>
      <c r="AC35" s="61">
        <f t="shared" si="29"/>
        <v>59</v>
      </c>
      <c r="AD35" s="61">
        <f t="shared" si="29"/>
        <v>249</v>
      </c>
      <c r="AE35" s="61">
        <f t="shared" si="29"/>
        <v>50</v>
      </c>
      <c r="AF35" s="61">
        <f t="shared" si="29"/>
        <v>299</v>
      </c>
      <c r="AG35" s="24">
        <f t="shared" si="29"/>
        <v>-85</v>
      </c>
      <c r="AH35" s="145">
        <f t="shared" si="29"/>
        <v>214</v>
      </c>
      <c r="AJ35" s="163">
        <f aca="true" t="shared" si="30" ref="AJ35:AP35">+AJ30+AJ32+AJ33+AJ34</f>
        <v>-90</v>
      </c>
      <c r="AK35" s="61">
        <f t="shared" si="30"/>
        <v>-62</v>
      </c>
      <c r="AL35" s="61">
        <f t="shared" si="30"/>
        <v>-152</v>
      </c>
      <c r="AM35" s="61">
        <f t="shared" si="30"/>
        <v>-28</v>
      </c>
      <c r="AN35" s="61">
        <f t="shared" si="30"/>
        <v>-180</v>
      </c>
      <c r="AO35" s="24">
        <f t="shared" si="30"/>
        <v>-682</v>
      </c>
      <c r="AP35" s="145">
        <f t="shared" si="30"/>
        <v>-862</v>
      </c>
      <c r="AR35" s="163">
        <f>+AR30+AR32+AR33+AR34</f>
        <v>-67</v>
      </c>
      <c r="AS35" s="61">
        <f>+AS30+AS32+AS33+AS34</f>
        <v>31</v>
      </c>
      <c r="AT35" s="61">
        <f>+AT30+AT32+AT33+AT34</f>
        <v>-36</v>
      </c>
      <c r="AU35" s="61">
        <f>+AU30+AU32+AU33+AU34</f>
        <v>-36</v>
      </c>
      <c r="AV35" s="61">
        <f>SUM(AV30:AV34)</f>
        <v>-72</v>
      </c>
      <c r="AW35" s="24">
        <f t="shared" si="1"/>
        <v>-275</v>
      </c>
      <c r="AX35" s="145">
        <f>+AX30+AX32+AX33+AX34</f>
        <v>-347</v>
      </c>
      <c r="AZ35" s="163">
        <f>+AZ30+AZ32+AZ33+AZ34</f>
        <v>4</v>
      </c>
      <c r="BA35" s="61">
        <f>+BA30+BA32+BA33+BA34</f>
        <v>-61</v>
      </c>
      <c r="BB35" s="61">
        <f>+BB30+BB32+BB33+BB34</f>
        <v>-57</v>
      </c>
      <c r="BC35" s="61">
        <f>+BC30+BC32+BC33+BC34</f>
        <v>51</v>
      </c>
      <c r="BD35" s="304">
        <f>SUM(BD30:BD34)</f>
        <v>-6</v>
      </c>
      <c r="BE35" s="24">
        <f t="shared" si="26"/>
        <v>6</v>
      </c>
      <c r="BF35" s="145">
        <f>+BF30+BF32+BF33+BF34</f>
        <v>0</v>
      </c>
    </row>
    <row r="36" spans="1:58" s="68" customFormat="1" ht="16.5" customHeight="1">
      <c r="A36" s="66"/>
      <c r="B36" s="156" t="s">
        <v>133</v>
      </c>
      <c r="D36" s="251">
        <v>1</v>
      </c>
      <c r="E36" s="54">
        <f>+F36-D36</f>
        <v>-145</v>
      </c>
      <c r="F36" s="256">
        <v>-144</v>
      </c>
      <c r="G36" s="54">
        <f>+H36-F36</f>
        <v>6</v>
      </c>
      <c r="H36" s="247">
        <v>-138</v>
      </c>
      <c r="I36" s="54">
        <f t="shared" si="25"/>
        <v>8</v>
      </c>
      <c r="J36" s="272">
        <v>-130</v>
      </c>
      <c r="L36" s="251">
        <v>3</v>
      </c>
      <c r="M36" s="54">
        <f>+N36-L36</f>
        <v>-144</v>
      </c>
      <c r="N36" s="256">
        <v>-141</v>
      </c>
      <c r="O36" s="54">
        <f>+P36-N36</f>
        <v>9</v>
      </c>
      <c r="P36" s="247">
        <v>-132</v>
      </c>
      <c r="Q36" s="54">
        <f>+R36-P36</f>
        <v>13</v>
      </c>
      <c r="R36" s="272">
        <v>-119</v>
      </c>
      <c r="T36" s="251">
        <v>-88</v>
      </c>
      <c r="U36" s="54">
        <f>+V36-T36</f>
        <v>-37</v>
      </c>
      <c r="V36" s="256">
        <v>-125</v>
      </c>
      <c r="W36" s="54">
        <f>+X36-V36</f>
        <v>19</v>
      </c>
      <c r="X36" s="247">
        <v>-106</v>
      </c>
      <c r="Y36" s="54">
        <f>+Z36-X36</f>
        <v>-53</v>
      </c>
      <c r="Z36" s="272">
        <v>-159</v>
      </c>
      <c r="AB36" s="251">
        <v>-88</v>
      </c>
      <c r="AC36" s="54">
        <f>+AD36-AB36</f>
        <v>-37</v>
      </c>
      <c r="AD36" s="256">
        <v>-125</v>
      </c>
      <c r="AE36" s="54">
        <f>+AF36-AD36</f>
        <v>19</v>
      </c>
      <c r="AF36" s="247">
        <v>-106</v>
      </c>
      <c r="AG36" s="54">
        <f>+AH36-AF36</f>
        <v>-53</v>
      </c>
      <c r="AH36" s="272">
        <v>-159</v>
      </c>
      <c r="AJ36" s="251">
        <v>-52</v>
      </c>
      <c r="AK36" s="54">
        <f>+AL36-AJ36</f>
        <v>12</v>
      </c>
      <c r="AL36" s="256">
        <v>-40</v>
      </c>
      <c r="AM36" s="54">
        <f>+AN36-AL36</f>
        <v>12</v>
      </c>
      <c r="AN36" s="247">
        <v>-28</v>
      </c>
      <c r="AO36" s="54">
        <f>+AP36-AN36</f>
        <v>-69</v>
      </c>
      <c r="AP36" s="272">
        <v>-97</v>
      </c>
      <c r="AR36" s="251">
        <v>-4</v>
      </c>
      <c r="AS36" s="54">
        <f>+AT36-AR36</f>
        <v>-16</v>
      </c>
      <c r="AT36" s="256">
        <v>-20</v>
      </c>
      <c r="AU36" s="54">
        <f>+AV36-AT36</f>
        <v>-1</v>
      </c>
      <c r="AV36" s="247">
        <v>-21</v>
      </c>
      <c r="AW36" s="54">
        <f t="shared" si="1"/>
        <v>-4</v>
      </c>
      <c r="AX36" s="272">
        <v>-25</v>
      </c>
      <c r="AZ36" s="251">
        <v>-18</v>
      </c>
      <c r="BA36" s="54">
        <f>+BB36-AZ36</f>
        <v>-59</v>
      </c>
      <c r="BB36" s="256">
        <v>-77</v>
      </c>
      <c r="BC36" s="54">
        <f>+BD36-BB36</f>
        <v>-17</v>
      </c>
      <c r="BD36" s="247">
        <v>-94</v>
      </c>
      <c r="BE36" s="54">
        <f t="shared" si="26"/>
        <v>94</v>
      </c>
      <c r="BF36" s="272"/>
    </row>
    <row r="37" spans="1:58" s="66" customFormat="1" ht="16.5" customHeight="1">
      <c r="A37" s="68"/>
      <c r="B37" s="157" t="s">
        <v>161</v>
      </c>
      <c r="D37" s="164">
        <f>+D35+D36</f>
        <v>-143</v>
      </c>
      <c r="E37" s="65">
        <f>+E35+E36</f>
        <v>288</v>
      </c>
      <c r="F37" s="65">
        <f>+F35+F36</f>
        <v>145</v>
      </c>
      <c r="G37" s="65">
        <f>+G35+G36</f>
        <v>29</v>
      </c>
      <c r="H37" s="65">
        <f>+H35+H36</f>
        <v>174</v>
      </c>
      <c r="I37" s="24">
        <f t="shared" si="25"/>
        <v>-76</v>
      </c>
      <c r="J37" s="146">
        <f>+J35+J36</f>
        <v>98</v>
      </c>
      <c r="L37" s="164">
        <f aca="true" t="shared" si="31" ref="L37:R37">+L35+L36</f>
        <v>-143</v>
      </c>
      <c r="M37" s="65">
        <f t="shared" si="31"/>
        <v>288</v>
      </c>
      <c r="N37" s="65">
        <f t="shared" si="31"/>
        <v>145</v>
      </c>
      <c r="O37" s="65">
        <f t="shared" si="31"/>
        <v>29</v>
      </c>
      <c r="P37" s="65">
        <f t="shared" si="31"/>
        <v>174</v>
      </c>
      <c r="Q37" s="24">
        <f t="shared" si="31"/>
        <v>-76</v>
      </c>
      <c r="R37" s="146">
        <f t="shared" si="31"/>
        <v>98</v>
      </c>
      <c r="T37" s="164">
        <f aca="true" t="shared" si="32" ref="T37:Z37">+T35+T36</f>
        <v>102</v>
      </c>
      <c r="U37" s="65">
        <f t="shared" si="32"/>
        <v>22</v>
      </c>
      <c r="V37" s="65">
        <f t="shared" si="32"/>
        <v>124</v>
      </c>
      <c r="W37" s="65">
        <f t="shared" si="32"/>
        <v>69</v>
      </c>
      <c r="X37" s="65">
        <f t="shared" si="32"/>
        <v>193</v>
      </c>
      <c r="Y37" s="24">
        <f t="shared" si="32"/>
        <v>-138</v>
      </c>
      <c r="Z37" s="146">
        <f t="shared" si="32"/>
        <v>55</v>
      </c>
      <c r="AB37" s="164">
        <f aca="true" t="shared" si="33" ref="AB37:AH37">+AB35+AB36</f>
        <v>102</v>
      </c>
      <c r="AC37" s="65">
        <f t="shared" si="33"/>
        <v>22</v>
      </c>
      <c r="AD37" s="65">
        <f t="shared" si="33"/>
        <v>124</v>
      </c>
      <c r="AE37" s="65">
        <f t="shared" si="33"/>
        <v>69</v>
      </c>
      <c r="AF37" s="65">
        <f t="shared" si="33"/>
        <v>193</v>
      </c>
      <c r="AG37" s="24">
        <f t="shared" si="33"/>
        <v>-138</v>
      </c>
      <c r="AH37" s="146">
        <f t="shared" si="33"/>
        <v>55</v>
      </c>
      <c r="AJ37" s="164">
        <f aca="true" t="shared" si="34" ref="AJ37:AP37">+AJ35+AJ36</f>
        <v>-142</v>
      </c>
      <c r="AK37" s="65">
        <f t="shared" si="34"/>
        <v>-50</v>
      </c>
      <c r="AL37" s="65">
        <f t="shared" si="34"/>
        <v>-192</v>
      </c>
      <c r="AM37" s="65">
        <f t="shared" si="34"/>
        <v>-16</v>
      </c>
      <c r="AN37" s="65">
        <f t="shared" si="34"/>
        <v>-208</v>
      </c>
      <c r="AO37" s="24">
        <f t="shared" si="34"/>
        <v>-751</v>
      </c>
      <c r="AP37" s="146">
        <f t="shared" si="34"/>
        <v>-959</v>
      </c>
      <c r="AR37" s="164">
        <f>+AR35+AR36</f>
        <v>-71</v>
      </c>
      <c r="AS37" s="65">
        <f>+AS35+AS36</f>
        <v>15</v>
      </c>
      <c r="AT37" s="65">
        <f>+AT35+AT36</f>
        <v>-56</v>
      </c>
      <c r="AU37" s="65">
        <f>+AU35+AU36</f>
        <v>-37</v>
      </c>
      <c r="AV37" s="65">
        <f>SUM(AV35:AV36)</f>
        <v>-93</v>
      </c>
      <c r="AW37" s="24">
        <f t="shared" si="1"/>
        <v>-279</v>
      </c>
      <c r="AX37" s="146">
        <f>+AX35+AX36</f>
        <v>-372</v>
      </c>
      <c r="AZ37" s="164">
        <f>+AZ35+AZ36</f>
        <v>-14</v>
      </c>
      <c r="BA37" s="65">
        <f>+BA35+BA36</f>
        <v>-120</v>
      </c>
      <c r="BB37" s="65">
        <f>+BB35+BB36</f>
        <v>-134</v>
      </c>
      <c r="BC37" s="65">
        <f>+BC35+BC36</f>
        <v>34</v>
      </c>
      <c r="BD37" s="343">
        <f>SUM(BD35:BD36)</f>
        <v>-100</v>
      </c>
      <c r="BE37" s="24">
        <f t="shared" si="26"/>
        <v>100</v>
      </c>
      <c r="BF37" s="146">
        <f>+BF35+BF36</f>
        <v>0</v>
      </c>
    </row>
    <row r="38" spans="1:58" s="68" customFormat="1" ht="16.5" customHeight="1">
      <c r="A38" s="66"/>
      <c r="B38" s="156" t="s">
        <v>149</v>
      </c>
      <c r="D38" s="252">
        <v>0</v>
      </c>
      <c r="E38" s="54">
        <f>+F38-D38</f>
        <v>0</v>
      </c>
      <c r="F38" s="193">
        <v>0</v>
      </c>
      <c r="G38" s="54">
        <f>+H38-F38</f>
        <v>0</v>
      </c>
      <c r="H38" s="193">
        <v>0</v>
      </c>
      <c r="I38" s="54">
        <f t="shared" si="25"/>
        <v>0</v>
      </c>
      <c r="J38" s="272">
        <v>0</v>
      </c>
      <c r="L38" s="252">
        <v>0</v>
      </c>
      <c r="M38" s="54">
        <f>+N38-L38</f>
        <v>0</v>
      </c>
      <c r="N38" s="193">
        <v>0</v>
      </c>
      <c r="O38" s="54">
        <f>+P38-N38</f>
        <v>0</v>
      </c>
      <c r="P38" s="193">
        <v>0</v>
      </c>
      <c r="Q38" s="54">
        <f>+R38-P38</f>
        <v>0</v>
      </c>
      <c r="R38" s="272">
        <v>0</v>
      </c>
      <c r="T38" s="252">
        <v>0</v>
      </c>
      <c r="U38" s="54">
        <f>+V38-T38</f>
        <v>0</v>
      </c>
      <c r="V38" s="193">
        <v>0</v>
      </c>
      <c r="W38" s="54">
        <f>+X38-V38</f>
        <v>0</v>
      </c>
      <c r="X38" s="193">
        <v>0</v>
      </c>
      <c r="Y38" s="54">
        <f>+Z38-X38</f>
        <v>0</v>
      </c>
      <c r="Z38" s="272">
        <v>0</v>
      </c>
      <c r="AB38" s="252">
        <v>0</v>
      </c>
      <c r="AC38" s="54">
        <f>+AD38-AB38</f>
        <v>0</v>
      </c>
      <c r="AD38" s="193">
        <v>0</v>
      </c>
      <c r="AE38" s="54">
        <f>+AF38-AD38</f>
        <v>0</v>
      </c>
      <c r="AF38" s="193">
        <v>0</v>
      </c>
      <c r="AG38" s="54">
        <f>+AH38-AF38</f>
        <v>0</v>
      </c>
      <c r="AH38" s="272">
        <v>0</v>
      </c>
      <c r="AJ38" s="252">
        <v>0</v>
      </c>
      <c r="AK38" s="54">
        <f>+AL38-AJ38</f>
        <v>0</v>
      </c>
      <c r="AL38" s="193">
        <v>0</v>
      </c>
      <c r="AM38" s="54">
        <f>+AN38-AL38</f>
        <v>0</v>
      </c>
      <c r="AN38" s="193">
        <v>0</v>
      </c>
      <c r="AO38" s="54">
        <f>+AP38-AN38</f>
        <v>0</v>
      </c>
      <c r="AP38" s="272">
        <v>0</v>
      </c>
      <c r="AR38" s="252">
        <v>0</v>
      </c>
      <c r="AS38" s="54">
        <f>+AT38-AR38</f>
        <v>0</v>
      </c>
      <c r="AT38" s="193">
        <v>0</v>
      </c>
      <c r="AU38" s="54">
        <f>+AV38-AT38</f>
        <v>0</v>
      </c>
      <c r="AV38" s="193">
        <v>0</v>
      </c>
      <c r="AW38" s="54">
        <f t="shared" si="1"/>
        <v>0</v>
      </c>
      <c r="AX38" s="272">
        <v>0</v>
      </c>
      <c r="AZ38" s="252">
        <v>0</v>
      </c>
      <c r="BA38" s="54">
        <f>+BB38-AZ38</f>
        <v>0</v>
      </c>
      <c r="BB38" s="193"/>
      <c r="BC38" s="54">
        <f>+BD38-BB38</f>
        <v>0</v>
      </c>
      <c r="BD38" s="193">
        <v>0</v>
      </c>
      <c r="BE38" s="54">
        <f t="shared" si="26"/>
        <v>0</v>
      </c>
      <c r="BF38" s="272"/>
    </row>
    <row r="39" spans="1:58" s="66" customFormat="1" ht="16.5" customHeight="1">
      <c r="A39" s="68"/>
      <c r="B39" s="157" t="s">
        <v>160</v>
      </c>
      <c r="D39" s="164">
        <f>+D37+D38</f>
        <v>-143</v>
      </c>
      <c r="E39" s="65">
        <f>+E37+E38</f>
        <v>288</v>
      </c>
      <c r="F39" s="65">
        <f>+F37+F38</f>
        <v>145</v>
      </c>
      <c r="G39" s="65">
        <f>+G37+G38</f>
        <v>29</v>
      </c>
      <c r="H39" s="65">
        <f>+H37+H38</f>
        <v>174</v>
      </c>
      <c r="I39" s="24">
        <f t="shared" si="25"/>
        <v>-76</v>
      </c>
      <c r="J39" s="146">
        <f>+J37+J38</f>
        <v>98</v>
      </c>
      <c r="L39" s="164">
        <f aca="true" t="shared" si="35" ref="L39:R39">+L37+L38</f>
        <v>-143</v>
      </c>
      <c r="M39" s="65">
        <f t="shared" si="35"/>
        <v>288</v>
      </c>
      <c r="N39" s="65">
        <f t="shared" si="35"/>
        <v>145</v>
      </c>
      <c r="O39" s="65">
        <f t="shared" si="35"/>
        <v>29</v>
      </c>
      <c r="P39" s="65">
        <f t="shared" si="35"/>
        <v>174</v>
      </c>
      <c r="Q39" s="24">
        <f t="shared" si="35"/>
        <v>-76</v>
      </c>
      <c r="R39" s="146">
        <f t="shared" si="35"/>
        <v>98</v>
      </c>
      <c r="T39" s="164">
        <f aca="true" t="shared" si="36" ref="T39:Z39">+T37+T38</f>
        <v>102</v>
      </c>
      <c r="U39" s="65">
        <f t="shared" si="36"/>
        <v>22</v>
      </c>
      <c r="V39" s="65">
        <f t="shared" si="36"/>
        <v>124</v>
      </c>
      <c r="W39" s="65">
        <f t="shared" si="36"/>
        <v>69</v>
      </c>
      <c r="X39" s="65">
        <f t="shared" si="36"/>
        <v>193</v>
      </c>
      <c r="Y39" s="24">
        <f t="shared" si="36"/>
        <v>-138</v>
      </c>
      <c r="Z39" s="146">
        <f t="shared" si="36"/>
        <v>55</v>
      </c>
      <c r="AB39" s="164">
        <f aca="true" t="shared" si="37" ref="AB39:AH39">+AB37+AB38</f>
        <v>102</v>
      </c>
      <c r="AC39" s="65">
        <f t="shared" si="37"/>
        <v>22</v>
      </c>
      <c r="AD39" s="65">
        <f t="shared" si="37"/>
        <v>124</v>
      </c>
      <c r="AE39" s="65">
        <f t="shared" si="37"/>
        <v>69</v>
      </c>
      <c r="AF39" s="65">
        <f t="shared" si="37"/>
        <v>193</v>
      </c>
      <c r="AG39" s="24">
        <f t="shared" si="37"/>
        <v>-138</v>
      </c>
      <c r="AH39" s="146">
        <f t="shared" si="37"/>
        <v>55</v>
      </c>
      <c r="AJ39" s="164">
        <f aca="true" t="shared" si="38" ref="AJ39:AP39">+AJ37+AJ38</f>
        <v>-142</v>
      </c>
      <c r="AK39" s="65">
        <f t="shared" si="38"/>
        <v>-50</v>
      </c>
      <c r="AL39" s="65">
        <f t="shared" si="38"/>
        <v>-192</v>
      </c>
      <c r="AM39" s="65">
        <f t="shared" si="38"/>
        <v>-16</v>
      </c>
      <c r="AN39" s="65">
        <f t="shared" si="38"/>
        <v>-208</v>
      </c>
      <c r="AO39" s="24">
        <f t="shared" si="38"/>
        <v>-751</v>
      </c>
      <c r="AP39" s="146">
        <f t="shared" si="38"/>
        <v>-959</v>
      </c>
      <c r="AR39" s="164">
        <f>+AR37+AR38</f>
        <v>-71</v>
      </c>
      <c r="AS39" s="65">
        <f>+AS37+AS38</f>
        <v>15</v>
      </c>
      <c r="AT39" s="65">
        <f>+AT37+AT38</f>
        <v>-56</v>
      </c>
      <c r="AU39" s="65">
        <f>+AU37+AU38</f>
        <v>-37</v>
      </c>
      <c r="AV39" s="65">
        <f>SUM(AV37:AV38)</f>
        <v>-93</v>
      </c>
      <c r="AW39" s="24">
        <f t="shared" si="1"/>
        <v>-279</v>
      </c>
      <c r="AX39" s="146">
        <f>+AX37+AX38</f>
        <v>-372</v>
      </c>
      <c r="AZ39" s="164">
        <f>+AZ37+AZ38</f>
        <v>-14</v>
      </c>
      <c r="BA39" s="65">
        <f>+BA37+BA38</f>
        <v>-120</v>
      </c>
      <c r="BB39" s="65">
        <f>+BB37+BB38</f>
        <v>-134</v>
      </c>
      <c r="BC39" s="65">
        <f>+BC37+BC38</f>
        <v>34</v>
      </c>
      <c r="BD39" s="343">
        <f>SUM(BD37:BD38)</f>
        <v>-100</v>
      </c>
      <c r="BE39" s="24">
        <f t="shared" si="26"/>
        <v>100</v>
      </c>
      <c r="BF39" s="146">
        <f>+BF37+BF38</f>
        <v>0</v>
      </c>
    </row>
    <row r="40" spans="1:58" s="60" customFormat="1" ht="12.75">
      <c r="A40" s="66"/>
      <c r="B40" s="152" t="s">
        <v>134</v>
      </c>
      <c r="D40" s="253">
        <v>1</v>
      </c>
      <c r="E40" s="54">
        <f>+F40-D40</f>
        <v>6</v>
      </c>
      <c r="F40" s="191">
        <v>7</v>
      </c>
      <c r="G40" s="54">
        <f>+H40-F40</f>
        <v>-7</v>
      </c>
      <c r="H40" s="191">
        <v>0</v>
      </c>
      <c r="I40" s="54">
        <f t="shared" si="25"/>
        <v>-2</v>
      </c>
      <c r="J40" s="272">
        <v>-2</v>
      </c>
      <c r="L40" s="253">
        <v>1</v>
      </c>
      <c r="M40" s="54">
        <f>+N40-L40</f>
        <v>6</v>
      </c>
      <c r="N40" s="191">
        <v>7</v>
      </c>
      <c r="O40" s="54">
        <f>+P40-N40</f>
        <v>-7</v>
      </c>
      <c r="P40" s="191">
        <v>0</v>
      </c>
      <c r="Q40" s="54">
        <f>+R40-P40</f>
        <v>-2</v>
      </c>
      <c r="R40" s="272">
        <v>-2</v>
      </c>
      <c r="T40" s="253">
        <v>-1</v>
      </c>
      <c r="U40" s="54">
        <f>+V40-T40</f>
        <v>-7</v>
      </c>
      <c r="V40" s="191">
        <v>-8</v>
      </c>
      <c r="W40" s="54">
        <f>+X40-V40</f>
        <v>-8</v>
      </c>
      <c r="X40" s="191">
        <v>-16</v>
      </c>
      <c r="Y40" s="54">
        <f>+Z40-X40</f>
        <v>1</v>
      </c>
      <c r="Z40" s="272">
        <v>-15</v>
      </c>
      <c r="AB40" s="253">
        <v>-1</v>
      </c>
      <c r="AC40" s="54">
        <f>+AD40-AB40</f>
        <v>-7</v>
      </c>
      <c r="AD40" s="191">
        <v>-8</v>
      </c>
      <c r="AE40" s="54">
        <f>+AF40-AD40</f>
        <v>-8</v>
      </c>
      <c r="AF40" s="191">
        <v>-16</v>
      </c>
      <c r="AG40" s="54">
        <f>+AH40-AF40</f>
        <v>1</v>
      </c>
      <c r="AH40" s="272">
        <v>-15</v>
      </c>
      <c r="AJ40" s="253">
        <v>-11</v>
      </c>
      <c r="AK40" s="54">
        <f>+AL40-AJ40</f>
        <v>-4</v>
      </c>
      <c r="AL40" s="191">
        <v>-15</v>
      </c>
      <c r="AM40" s="54">
        <f>+AN40-AL40</f>
        <v>-8</v>
      </c>
      <c r="AN40" s="191">
        <v>-23</v>
      </c>
      <c r="AO40" s="54">
        <f>+AP40-AN40</f>
        <v>2</v>
      </c>
      <c r="AP40" s="272">
        <v>-21</v>
      </c>
      <c r="AR40" s="253">
        <v>-5</v>
      </c>
      <c r="AS40" s="54">
        <f>+AT40-AR40</f>
        <v>-6</v>
      </c>
      <c r="AT40" s="191">
        <v>-11</v>
      </c>
      <c r="AU40" s="54">
        <f>+AV40-AT40</f>
        <v>-3</v>
      </c>
      <c r="AV40" s="191">
        <v>-14</v>
      </c>
      <c r="AW40" s="54">
        <f t="shared" si="1"/>
        <v>-3</v>
      </c>
      <c r="AX40" s="272">
        <v>-17</v>
      </c>
      <c r="AZ40" s="253">
        <v>-5</v>
      </c>
      <c r="BA40" s="54">
        <f>+BB40-AZ40</f>
        <v>-1</v>
      </c>
      <c r="BB40" s="191">
        <v>-6</v>
      </c>
      <c r="BC40" s="54">
        <f>+BD40-BB40</f>
        <v>-4</v>
      </c>
      <c r="BD40" s="191">
        <v>-10</v>
      </c>
      <c r="BE40" s="54">
        <f t="shared" si="26"/>
        <v>10</v>
      </c>
      <c r="BF40" s="272"/>
    </row>
    <row r="41" spans="1:58" s="63" customFormat="1" ht="16.5" customHeight="1">
      <c r="A41" s="68"/>
      <c r="B41" s="158" t="s">
        <v>135</v>
      </c>
      <c r="D41" s="168">
        <f>+D39+D40</f>
        <v>-142</v>
      </c>
      <c r="E41" s="166">
        <f>+E39+E40</f>
        <v>294</v>
      </c>
      <c r="F41" s="166">
        <f>+F39+F40</f>
        <v>152</v>
      </c>
      <c r="G41" s="166">
        <f>+G39+G40</f>
        <v>22</v>
      </c>
      <c r="H41" s="166">
        <f>+H39+H40</f>
        <v>174</v>
      </c>
      <c r="I41" s="311">
        <f t="shared" si="25"/>
        <v>-78</v>
      </c>
      <c r="J41" s="147">
        <f>+J39+J40</f>
        <v>96</v>
      </c>
      <c r="L41" s="168">
        <f aca="true" t="shared" si="39" ref="L41:R41">+L39+L40</f>
        <v>-142</v>
      </c>
      <c r="M41" s="166">
        <f t="shared" si="39"/>
        <v>294</v>
      </c>
      <c r="N41" s="166">
        <f t="shared" si="39"/>
        <v>152</v>
      </c>
      <c r="O41" s="166">
        <f t="shared" si="39"/>
        <v>22</v>
      </c>
      <c r="P41" s="166">
        <f t="shared" si="39"/>
        <v>174</v>
      </c>
      <c r="Q41" s="311">
        <f t="shared" si="39"/>
        <v>-78</v>
      </c>
      <c r="R41" s="147">
        <f t="shared" si="39"/>
        <v>96</v>
      </c>
      <c r="T41" s="168">
        <f aca="true" t="shared" si="40" ref="T41:Z41">+T39+T40</f>
        <v>101</v>
      </c>
      <c r="U41" s="166">
        <f t="shared" si="40"/>
        <v>15</v>
      </c>
      <c r="V41" s="166">
        <f t="shared" si="40"/>
        <v>116</v>
      </c>
      <c r="W41" s="166">
        <f t="shared" si="40"/>
        <v>61</v>
      </c>
      <c r="X41" s="166">
        <f t="shared" si="40"/>
        <v>177</v>
      </c>
      <c r="Y41" s="311">
        <f t="shared" si="40"/>
        <v>-137</v>
      </c>
      <c r="Z41" s="147">
        <f t="shared" si="40"/>
        <v>40</v>
      </c>
      <c r="AB41" s="168">
        <f aca="true" t="shared" si="41" ref="AB41:AH41">+AB39+AB40</f>
        <v>101</v>
      </c>
      <c r="AC41" s="166">
        <f t="shared" si="41"/>
        <v>15</v>
      </c>
      <c r="AD41" s="166">
        <f t="shared" si="41"/>
        <v>116</v>
      </c>
      <c r="AE41" s="166">
        <f t="shared" si="41"/>
        <v>61</v>
      </c>
      <c r="AF41" s="166">
        <f t="shared" si="41"/>
        <v>177</v>
      </c>
      <c r="AG41" s="311">
        <f t="shared" si="41"/>
        <v>-137</v>
      </c>
      <c r="AH41" s="147">
        <f t="shared" si="41"/>
        <v>40</v>
      </c>
      <c r="AJ41" s="168">
        <f aca="true" t="shared" si="42" ref="AJ41:AP41">+AJ39+AJ40</f>
        <v>-153</v>
      </c>
      <c r="AK41" s="166">
        <f t="shared" si="42"/>
        <v>-54</v>
      </c>
      <c r="AL41" s="166">
        <f t="shared" si="42"/>
        <v>-207</v>
      </c>
      <c r="AM41" s="166">
        <f t="shared" si="42"/>
        <v>-24</v>
      </c>
      <c r="AN41" s="166">
        <f t="shared" si="42"/>
        <v>-231</v>
      </c>
      <c r="AO41" s="311">
        <f t="shared" si="42"/>
        <v>-749</v>
      </c>
      <c r="AP41" s="147">
        <f t="shared" si="42"/>
        <v>-980</v>
      </c>
      <c r="AR41" s="168">
        <f>+AR39+AR40</f>
        <v>-76</v>
      </c>
      <c r="AS41" s="166">
        <f>+AS39+AS40</f>
        <v>9</v>
      </c>
      <c r="AT41" s="166">
        <f>+AT39+AT40</f>
        <v>-67</v>
      </c>
      <c r="AU41" s="166">
        <f>+AU39+AU40</f>
        <v>-40</v>
      </c>
      <c r="AV41" s="166">
        <f>SUM(AV39:AV40)</f>
        <v>-107</v>
      </c>
      <c r="AW41" s="311">
        <f t="shared" si="1"/>
        <v>-282</v>
      </c>
      <c r="AX41" s="147">
        <f>+AX39+AX40</f>
        <v>-389</v>
      </c>
      <c r="AZ41" s="168">
        <f>+AZ39+AZ40</f>
        <v>-19</v>
      </c>
      <c r="BA41" s="166">
        <f>+BA39+BA40</f>
        <v>-121</v>
      </c>
      <c r="BB41" s="166">
        <f>+BB39+BB40</f>
        <v>-140</v>
      </c>
      <c r="BC41" s="166">
        <f>+BC39+BC40</f>
        <v>30</v>
      </c>
      <c r="BD41" s="833">
        <f>SUM(BD39:BD40)</f>
        <v>-110</v>
      </c>
      <c r="BE41" s="311">
        <f t="shared" si="26"/>
        <v>110</v>
      </c>
      <c r="BF41" s="147">
        <f>+BF39+BF40</f>
        <v>0</v>
      </c>
    </row>
    <row r="42" spans="2:56" ht="12.75">
      <c r="B42" s="143"/>
      <c r="D42" s="183"/>
      <c r="E42" s="183"/>
      <c r="F42" s="183"/>
      <c r="G42" s="183"/>
      <c r="H42" s="183"/>
      <c r="I42" s="183"/>
      <c r="J42" s="183"/>
      <c r="Q42" s="59"/>
      <c r="BD42" s="183"/>
    </row>
    <row r="43" spans="2:56" ht="12.75">
      <c r="B43" s="49"/>
      <c r="D43" s="183"/>
      <c r="E43" s="183"/>
      <c r="F43" s="183"/>
      <c r="G43" s="183"/>
      <c r="H43" s="183"/>
      <c r="I43" s="183"/>
      <c r="J43" s="183"/>
      <c r="Q43" s="59"/>
      <c r="BD43" s="183"/>
    </row>
    <row r="44" spans="2:58" s="53" customFormat="1" ht="17.25" customHeight="1">
      <c r="B44" s="148" t="s">
        <v>219</v>
      </c>
      <c r="D44" s="451" t="s">
        <v>232</v>
      </c>
      <c r="E44" s="452" t="s">
        <v>233</v>
      </c>
      <c r="F44" s="452" t="s">
        <v>234</v>
      </c>
      <c r="G44" s="452" t="s">
        <v>235</v>
      </c>
      <c r="H44" s="452" t="s">
        <v>236</v>
      </c>
      <c r="I44" s="452" t="s">
        <v>237</v>
      </c>
      <c r="J44" s="453" t="s">
        <v>238</v>
      </c>
      <c r="L44" s="451" t="s">
        <v>232</v>
      </c>
      <c r="M44" s="452" t="s">
        <v>233</v>
      </c>
      <c r="N44" s="452" t="s">
        <v>234</v>
      </c>
      <c r="O44" s="452" t="s">
        <v>235</v>
      </c>
      <c r="P44" s="452" t="s">
        <v>236</v>
      </c>
      <c r="Q44" s="452" t="s">
        <v>237</v>
      </c>
      <c r="R44" s="453" t="s">
        <v>238</v>
      </c>
      <c r="T44" s="451" t="s">
        <v>247</v>
      </c>
      <c r="U44" s="452" t="s">
        <v>248</v>
      </c>
      <c r="V44" s="452" t="s">
        <v>249</v>
      </c>
      <c r="W44" s="452" t="s">
        <v>250</v>
      </c>
      <c r="X44" s="452" t="s">
        <v>251</v>
      </c>
      <c r="Y44" s="452" t="s">
        <v>252</v>
      </c>
      <c r="Z44" s="453" t="s">
        <v>253</v>
      </c>
      <c r="AB44" s="451" t="str">
        <f aca="true" t="shared" si="43" ref="AB44:AH44">+AB4</f>
        <v>IQ 2014</v>
      </c>
      <c r="AC44" s="452" t="str">
        <f t="shared" si="43"/>
        <v>IIQ 2014</v>
      </c>
      <c r="AD44" s="452" t="str">
        <f t="shared" si="43"/>
        <v>IH 2014</v>
      </c>
      <c r="AE44" s="452" t="str">
        <f t="shared" si="43"/>
        <v>III Q 2014</v>
      </c>
      <c r="AF44" s="452" t="str">
        <f t="shared" si="43"/>
        <v>9M 2014</v>
      </c>
      <c r="AG44" s="452" t="str">
        <f t="shared" si="43"/>
        <v>IV Q 2014</v>
      </c>
      <c r="AH44" s="453" t="str">
        <f t="shared" si="43"/>
        <v>FY 2014</v>
      </c>
      <c r="AJ44" s="451" t="str">
        <f aca="true" t="shared" si="44" ref="AJ44:AP44">+AJ4</f>
        <v>IQ 2015</v>
      </c>
      <c r="AK44" s="452" t="str">
        <f t="shared" si="44"/>
        <v>IIQ 2015</v>
      </c>
      <c r="AL44" s="452" t="str">
        <f t="shared" si="44"/>
        <v>IH 2015</v>
      </c>
      <c r="AM44" s="452" t="str">
        <f t="shared" si="44"/>
        <v>III Q 2015</v>
      </c>
      <c r="AN44" s="452" t="str">
        <f t="shared" si="44"/>
        <v>9M 2015</v>
      </c>
      <c r="AO44" s="452" t="str">
        <f t="shared" si="44"/>
        <v>IV Q 2015</v>
      </c>
      <c r="AP44" s="453" t="str">
        <f t="shared" si="44"/>
        <v>FY 2015</v>
      </c>
      <c r="AR44" s="451" t="s">
        <v>295</v>
      </c>
      <c r="AS44" s="452" t="s">
        <v>296</v>
      </c>
      <c r="AT44" s="452" t="s">
        <v>297</v>
      </c>
      <c r="AU44" s="452" t="s">
        <v>298</v>
      </c>
      <c r="AV44" s="452" t="s">
        <v>299</v>
      </c>
      <c r="AW44" s="452" t="s">
        <v>300</v>
      </c>
      <c r="AX44" s="453" t="s">
        <v>371</v>
      </c>
      <c r="AZ44" s="451" t="str">
        <f>+AZ4</f>
        <v>IQ 2017</v>
      </c>
      <c r="BA44" s="451" t="str">
        <f aca="true" t="shared" si="45" ref="BA44:BF44">+BA4</f>
        <v>IIQ 2017</v>
      </c>
      <c r="BB44" s="451" t="str">
        <f t="shared" si="45"/>
        <v>IH 2017 (5) </v>
      </c>
      <c r="BC44" s="451" t="str">
        <f t="shared" si="45"/>
        <v>III Q 2017</v>
      </c>
      <c r="BD44" s="451" t="str">
        <f t="shared" si="45"/>
        <v>9M 2017</v>
      </c>
      <c r="BE44" s="451" t="str">
        <f t="shared" si="45"/>
        <v>IV Q 2017</v>
      </c>
      <c r="BF44" s="451" t="str">
        <f t="shared" si="45"/>
        <v>FY 2017 (1)</v>
      </c>
    </row>
    <row r="45" spans="2:58" ht="12.75">
      <c r="B45" s="152"/>
      <c r="D45" s="97"/>
      <c r="E45" s="183"/>
      <c r="F45" s="183"/>
      <c r="G45" s="183"/>
      <c r="H45" s="183"/>
      <c r="I45" s="183"/>
      <c r="J45" s="114"/>
      <c r="L45" s="115"/>
      <c r="Q45" s="59"/>
      <c r="R45" s="104"/>
      <c r="T45" s="115"/>
      <c r="Z45" s="104"/>
      <c r="AB45" s="115"/>
      <c r="AH45" s="104"/>
      <c r="AJ45" s="115"/>
      <c r="AP45" s="104"/>
      <c r="AR45" s="115"/>
      <c r="AX45" s="104"/>
      <c r="AZ45" s="115"/>
      <c r="BD45" s="183"/>
      <c r="BF45" s="104"/>
    </row>
    <row r="46" spans="2:58" ht="12.75">
      <c r="B46" s="153" t="s">
        <v>136</v>
      </c>
      <c r="D46" s="257">
        <v>9651</v>
      </c>
      <c r="E46" s="258"/>
      <c r="F46" s="259">
        <v>10136</v>
      </c>
      <c r="G46" s="259"/>
      <c r="H46" s="259">
        <v>9758</v>
      </c>
      <c r="I46" s="61"/>
      <c r="J46" s="273">
        <v>9801</v>
      </c>
      <c r="L46" s="257">
        <v>9542</v>
      </c>
      <c r="M46" s="258"/>
      <c r="N46" s="259">
        <v>10020</v>
      </c>
      <c r="O46" s="259"/>
      <c r="P46" s="259">
        <v>9651</v>
      </c>
      <c r="Q46" s="61"/>
      <c r="R46" s="273">
        <v>9690</v>
      </c>
      <c r="T46" s="257">
        <v>9534</v>
      </c>
      <c r="U46" s="258"/>
      <c r="V46" s="259">
        <v>9694</v>
      </c>
      <c r="W46" s="259"/>
      <c r="X46" s="259">
        <v>9631</v>
      </c>
      <c r="Y46" s="61"/>
      <c r="Z46" s="273">
        <v>8903</v>
      </c>
      <c r="AB46" s="257">
        <v>9534</v>
      </c>
      <c r="AC46" s="258"/>
      <c r="AD46" s="259">
        <v>9694</v>
      </c>
      <c r="AE46" s="259"/>
      <c r="AF46" s="259">
        <v>9631</v>
      </c>
      <c r="AG46" s="61"/>
      <c r="AH46" s="273">
        <v>8903</v>
      </c>
      <c r="AJ46" s="257">
        <v>8720</v>
      </c>
      <c r="AK46" s="258"/>
      <c r="AL46" s="259">
        <v>8754</v>
      </c>
      <c r="AM46" s="259"/>
      <c r="AN46" s="259">
        <v>8523</v>
      </c>
      <c r="AO46" s="61"/>
      <c r="AP46" s="273">
        <v>7023</v>
      </c>
      <c r="AR46" s="257">
        <v>6985</v>
      </c>
      <c r="AS46" s="258"/>
      <c r="AT46" s="259">
        <v>7337</v>
      </c>
      <c r="AU46" s="259"/>
      <c r="AV46" s="259">
        <v>7578</v>
      </c>
      <c r="AW46" s="61"/>
      <c r="AX46" s="273">
        <v>7327</v>
      </c>
      <c r="AZ46" s="257">
        <v>7228</v>
      </c>
      <c r="BA46" s="258"/>
      <c r="BB46" s="259">
        <v>6884</v>
      </c>
      <c r="BC46" s="259"/>
      <c r="BD46" s="259">
        <v>8832</v>
      </c>
      <c r="BE46" s="61"/>
      <c r="BF46" s="273"/>
    </row>
    <row r="47" spans="1:58" s="60" customFormat="1" ht="12.75">
      <c r="A47" s="59"/>
      <c r="B47" s="152"/>
      <c r="D47" s="249"/>
      <c r="E47" s="254"/>
      <c r="F47" s="254"/>
      <c r="G47" s="254"/>
      <c r="H47" s="254"/>
      <c r="J47" s="274"/>
      <c r="L47" s="249"/>
      <c r="M47" s="254"/>
      <c r="N47" s="254"/>
      <c r="O47" s="254"/>
      <c r="P47" s="254"/>
      <c r="R47" s="274"/>
      <c r="T47" s="249"/>
      <c r="U47" s="254"/>
      <c r="V47" s="254"/>
      <c r="W47" s="254"/>
      <c r="X47" s="254"/>
      <c r="Z47" s="274"/>
      <c r="AB47" s="249"/>
      <c r="AC47" s="254"/>
      <c r="AD47" s="254"/>
      <c r="AE47" s="254"/>
      <c r="AF47" s="254"/>
      <c r="AH47" s="274"/>
      <c r="AJ47" s="249"/>
      <c r="AK47" s="254"/>
      <c r="AL47" s="254"/>
      <c r="AM47" s="254"/>
      <c r="AN47" s="254"/>
      <c r="AP47" s="274"/>
      <c r="AR47" s="249"/>
      <c r="AS47" s="254"/>
      <c r="AT47" s="254"/>
      <c r="AU47" s="254"/>
      <c r="AV47" s="254"/>
      <c r="AX47" s="274"/>
      <c r="AZ47" s="249"/>
      <c r="BA47" s="254"/>
      <c r="BB47" s="254"/>
      <c r="BC47" s="254"/>
      <c r="BD47" s="254"/>
      <c r="BF47" s="274"/>
    </row>
    <row r="48" spans="1:58" ht="15" customHeight="1">
      <c r="A48" s="60"/>
      <c r="B48" s="153" t="s">
        <v>137</v>
      </c>
      <c r="D48" s="257">
        <v>7096</v>
      </c>
      <c r="E48" s="258"/>
      <c r="F48" s="259">
        <v>7284</v>
      </c>
      <c r="G48" s="259"/>
      <c r="H48" s="260">
        <v>7305</v>
      </c>
      <c r="I48" s="61"/>
      <c r="J48" s="275">
        <v>7252</v>
      </c>
      <c r="L48" s="257">
        <v>7084</v>
      </c>
      <c r="M48" s="258"/>
      <c r="N48" s="259">
        <v>7272</v>
      </c>
      <c r="O48" s="259"/>
      <c r="P48" s="260">
        <v>7292</v>
      </c>
      <c r="Q48" s="61"/>
      <c r="R48" s="275">
        <v>7239</v>
      </c>
      <c r="T48" s="257">
        <v>7305</v>
      </c>
      <c r="U48" s="258"/>
      <c r="V48" s="259">
        <v>7430</v>
      </c>
      <c r="W48" s="259"/>
      <c r="X48" s="260">
        <v>7486</v>
      </c>
      <c r="Y48" s="61"/>
      <c r="Z48" s="275">
        <v>7137</v>
      </c>
      <c r="AB48" s="257">
        <v>7305</v>
      </c>
      <c r="AC48" s="258"/>
      <c r="AD48" s="259">
        <v>7430</v>
      </c>
      <c r="AE48" s="259"/>
      <c r="AF48" s="260">
        <v>7486</v>
      </c>
      <c r="AG48" s="61"/>
      <c r="AH48" s="275">
        <v>7137</v>
      </c>
      <c r="AJ48" s="257">
        <v>7117</v>
      </c>
      <c r="AK48" s="258"/>
      <c r="AL48" s="259">
        <v>7075</v>
      </c>
      <c r="AM48" s="259"/>
      <c r="AN48" s="260">
        <v>6805</v>
      </c>
      <c r="AO48" s="61"/>
      <c r="AP48" s="275">
        <v>5876</v>
      </c>
      <c r="AR48" s="257">
        <v>5844</v>
      </c>
      <c r="AS48" s="258"/>
      <c r="AT48" s="259">
        <v>6270</v>
      </c>
      <c r="AU48" s="259"/>
      <c r="AV48" s="260">
        <v>6372</v>
      </c>
      <c r="AW48" s="61"/>
      <c r="AX48" s="275">
        <v>6265</v>
      </c>
      <c r="AZ48" s="257">
        <v>6294</v>
      </c>
      <c r="BA48" s="258"/>
      <c r="BB48" s="259">
        <v>6104</v>
      </c>
      <c r="BC48" s="259"/>
      <c r="BD48" s="260">
        <v>6210</v>
      </c>
      <c r="BE48" s="61"/>
      <c r="BF48" s="275"/>
    </row>
    <row r="49" spans="1:58" s="60" customFormat="1" ht="12.75">
      <c r="A49" s="59"/>
      <c r="B49" s="152" t="s">
        <v>138</v>
      </c>
      <c r="D49" s="250">
        <v>6972</v>
      </c>
      <c r="E49" s="245"/>
      <c r="F49" s="255">
        <v>7166</v>
      </c>
      <c r="G49" s="247"/>
      <c r="H49" s="255">
        <v>7180</v>
      </c>
      <c r="I49" s="67"/>
      <c r="J49" s="276">
        <v>7126</v>
      </c>
      <c r="L49" s="250">
        <v>6972</v>
      </c>
      <c r="M49" s="245"/>
      <c r="N49" s="255">
        <v>7166</v>
      </c>
      <c r="O49" s="247"/>
      <c r="P49" s="255">
        <v>7180</v>
      </c>
      <c r="Q49" s="67"/>
      <c r="R49" s="276">
        <v>7126</v>
      </c>
      <c r="T49" s="250">
        <v>7197</v>
      </c>
      <c r="U49" s="245"/>
      <c r="V49" s="255">
        <v>7315</v>
      </c>
      <c r="W49" s="247"/>
      <c r="X49" s="255">
        <v>7363</v>
      </c>
      <c r="Y49" s="67"/>
      <c r="Z49" s="276">
        <v>6627</v>
      </c>
      <c r="AB49" s="250">
        <v>7197</v>
      </c>
      <c r="AC49" s="245"/>
      <c r="AD49" s="255">
        <v>7315</v>
      </c>
      <c r="AE49" s="247"/>
      <c r="AF49" s="255">
        <v>7363</v>
      </c>
      <c r="AG49" s="67"/>
      <c r="AH49" s="276">
        <v>6627</v>
      </c>
      <c r="AJ49" s="250">
        <v>6603</v>
      </c>
      <c r="AK49" s="245"/>
      <c r="AL49" s="255">
        <v>6618</v>
      </c>
      <c r="AM49" s="247"/>
      <c r="AN49" s="255">
        <v>6338</v>
      </c>
      <c r="AO49" s="67"/>
      <c r="AP49" s="276">
        <v>5439</v>
      </c>
      <c r="AR49" s="250">
        <v>5475</v>
      </c>
      <c r="AS49" s="245"/>
      <c r="AT49" s="255">
        <v>5922</v>
      </c>
      <c r="AU49" s="247"/>
      <c r="AV49" s="255">
        <v>6037</v>
      </c>
      <c r="AW49" s="67"/>
      <c r="AX49" s="276">
        <v>5955</v>
      </c>
      <c r="AZ49" s="250">
        <v>5979</v>
      </c>
      <c r="BA49" s="245"/>
      <c r="BB49" s="255">
        <v>5817</v>
      </c>
      <c r="BC49" s="247"/>
      <c r="BD49" s="255">
        <v>5919</v>
      </c>
      <c r="BE49" s="67"/>
      <c r="BF49" s="276"/>
    </row>
    <row r="50" spans="2:58" s="60" customFormat="1" ht="12.75">
      <c r="B50" s="155"/>
      <c r="D50" s="249"/>
      <c r="E50" s="254"/>
      <c r="F50" s="254"/>
      <c r="G50" s="254"/>
      <c r="H50" s="247"/>
      <c r="J50" s="277"/>
      <c r="L50" s="249"/>
      <c r="M50" s="254"/>
      <c r="N50" s="254"/>
      <c r="O50" s="254"/>
      <c r="P50" s="247"/>
      <c r="R50" s="277"/>
      <c r="T50" s="249"/>
      <c r="U50" s="254"/>
      <c r="V50" s="254"/>
      <c r="W50" s="254"/>
      <c r="X50" s="247"/>
      <c r="Z50" s="277"/>
      <c r="AB50" s="249"/>
      <c r="AC50" s="254"/>
      <c r="AD50" s="254"/>
      <c r="AE50" s="254"/>
      <c r="AF50" s="247"/>
      <c r="AH50" s="277"/>
      <c r="AJ50" s="249"/>
      <c r="AK50" s="254"/>
      <c r="AL50" s="254"/>
      <c r="AM50" s="254"/>
      <c r="AN50" s="247"/>
      <c r="AP50" s="277"/>
      <c r="AR50" s="249"/>
      <c r="AS50" s="254"/>
      <c r="AT50" s="254"/>
      <c r="AU50" s="254"/>
      <c r="AV50" s="247"/>
      <c r="AX50" s="277"/>
      <c r="AZ50" s="249"/>
      <c r="BA50" s="254"/>
      <c r="BB50" s="254"/>
      <c r="BC50" s="254"/>
      <c r="BD50" s="247"/>
      <c r="BF50" s="277"/>
    </row>
    <row r="51" spans="2:58" s="63" customFormat="1" ht="12" customHeight="1">
      <c r="B51" s="154" t="s">
        <v>139</v>
      </c>
      <c r="D51" s="261">
        <v>2555</v>
      </c>
      <c r="E51" s="258"/>
      <c r="F51" s="262">
        <v>2852</v>
      </c>
      <c r="G51" s="259"/>
      <c r="H51" s="262">
        <v>2453</v>
      </c>
      <c r="I51" s="61"/>
      <c r="J51" s="278">
        <v>2549</v>
      </c>
      <c r="L51" s="261">
        <v>2458</v>
      </c>
      <c r="M51" s="258"/>
      <c r="N51" s="262">
        <v>2748</v>
      </c>
      <c r="O51" s="259"/>
      <c r="P51" s="262">
        <v>2359</v>
      </c>
      <c r="Q51" s="61"/>
      <c r="R51" s="278">
        <v>2451</v>
      </c>
      <c r="T51" s="261">
        <v>2229</v>
      </c>
      <c r="U51" s="258"/>
      <c r="V51" s="262">
        <v>2264</v>
      </c>
      <c r="W51" s="259"/>
      <c r="X51" s="262">
        <v>2145</v>
      </c>
      <c r="Y51" s="61"/>
      <c r="Z51" s="278">
        <v>1766</v>
      </c>
      <c r="AB51" s="261">
        <v>2229</v>
      </c>
      <c r="AC51" s="258"/>
      <c r="AD51" s="262">
        <v>2264</v>
      </c>
      <c r="AE51" s="259"/>
      <c r="AF51" s="262">
        <v>2145</v>
      </c>
      <c r="AG51" s="61"/>
      <c r="AH51" s="278">
        <v>1766</v>
      </c>
      <c r="AJ51" s="261">
        <v>1603</v>
      </c>
      <c r="AK51" s="258"/>
      <c r="AL51" s="262">
        <v>1679</v>
      </c>
      <c r="AM51" s="259"/>
      <c r="AN51" s="262">
        <v>1718</v>
      </c>
      <c r="AO51" s="61"/>
      <c r="AP51" s="278">
        <v>1147</v>
      </c>
      <c r="AR51" s="261">
        <v>1141</v>
      </c>
      <c r="AS51" s="258"/>
      <c r="AT51" s="262">
        <v>1067</v>
      </c>
      <c r="AU51" s="259"/>
      <c r="AV51" s="262">
        <v>1206</v>
      </c>
      <c r="AW51" s="61"/>
      <c r="AX51" s="278">
        <v>1062</v>
      </c>
      <c r="AZ51" s="261">
        <v>934</v>
      </c>
      <c r="BA51" s="258"/>
      <c r="BB51" s="262">
        <v>780</v>
      </c>
      <c r="BC51" s="259"/>
      <c r="BD51" s="262">
        <v>622</v>
      </c>
      <c r="BE51" s="61"/>
      <c r="BF51" s="278"/>
    </row>
    <row r="52" spans="2:58" s="63" customFormat="1" ht="12.75">
      <c r="B52" s="154"/>
      <c r="D52" s="263"/>
      <c r="E52" s="264"/>
      <c r="F52" s="264"/>
      <c r="G52" s="264"/>
      <c r="H52" s="264"/>
      <c r="J52" s="170"/>
      <c r="L52" s="263"/>
      <c r="M52" s="264"/>
      <c r="N52" s="264"/>
      <c r="O52" s="264"/>
      <c r="P52" s="264"/>
      <c r="R52" s="170"/>
      <c r="T52" s="263"/>
      <c r="U52" s="264"/>
      <c r="V52" s="264"/>
      <c r="W52" s="264"/>
      <c r="X52" s="264"/>
      <c r="Z52" s="170"/>
      <c r="AB52" s="263"/>
      <c r="AC52" s="264"/>
      <c r="AD52" s="264"/>
      <c r="AE52" s="264"/>
      <c r="AF52" s="264"/>
      <c r="AH52" s="170"/>
      <c r="AJ52" s="263"/>
      <c r="AK52" s="264"/>
      <c r="AL52" s="264"/>
      <c r="AM52" s="264"/>
      <c r="AN52" s="264"/>
      <c r="AP52" s="170"/>
      <c r="AR52" s="263"/>
      <c r="AS52" s="264"/>
      <c r="AT52" s="264"/>
      <c r="AU52" s="264"/>
      <c r="AV52" s="264"/>
      <c r="AX52" s="170"/>
      <c r="AZ52" s="263"/>
      <c r="BA52" s="264"/>
      <c r="BB52" s="264"/>
      <c r="BC52" s="264"/>
      <c r="BD52" s="264"/>
      <c r="BF52" s="170"/>
    </row>
    <row r="53" spans="1:58" s="63" customFormat="1" ht="12.75" customHeight="1">
      <c r="A53" s="170"/>
      <c r="B53" s="154" t="s">
        <v>146</v>
      </c>
      <c r="C53" s="154"/>
      <c r="D53" s="357">
        <f>+D51/D48</f>
        <v>0.3600620067643743</v>
      </c>
      <c r="F53" s="358">
        <f>+F51/F48</f>
        <v>0.3915431081823174</v>
      </c>
      <c r="G53" s="358"/>
      <c r="H53" s="358">
        <f>+H51/H48</f>
        <v>0.3357973990417522</v>
      </c>
      <c r="J53" s="359">
        <f>+J51/J48</f>
        <v>0.35148924434638723</v>
      </c>
      <c r="K53" s="154"/>
      <c r="L53" s="357">
        <f>+L51/L48</f>
        <v>0.3469791078486731</v>
      </c>
      <c r="N53" s="358">
        <f>+N51/N48</f>
        <v>0.3778877887788779</v>
      </c>
      <c r="O53" s="358"/>
      <c r="P53" s="358">
        <f>+P51/P48</f>
        <v>0.3235052111903456</v>
      </c>
      <c r="R53" s="359">
        <f>+R51/R48</f>
        <v>0.33858267716535434</v>
      </c>
      <c r="S53" s="170"/>
      <c r="T53" s="357">
        <f>+T51/T48</f>
        <v>0.30513347022587267</v>
      </c>
      <c r="V53" s="358">
        <f>+V51/V48</f>
        <v>0.3047106325706595</v>
      </c>
      <c r="W53" s="358"/>
      <c r="X53" s="358">
        <f>+X51/X48</f>
        <v>0.28653486508148546</v>
      </c>
      <c r="Z53" s="359">
        <f>+Z51/Z48</f>
        <v>0.2474429031806081</v>
      </c>
      <c r="AA53" s="170"/>
      <c r="AB53" s="357">
        <f>+AB51/AB48</f>
        <v>0.30513347022587267</v>
      </c>
      <c r="AD53" s="358">
        <f>+AD51/AD48</f>
        <v>0.3047106325706595</v>
      </c>
      <c r="AE53" s="358"/>
      <c r="AF53" s="358">
        <f>+AF51/AF48</f>
        <v>0.28653486508148546</v>
      </c>
      <c r="AH53" s="359">
        <f>+AH51/AH48</f>
        <v>0.2474429031806081</v>
      </c>
      <c r="AI53" s="170"/>
      <c r="AJ53" s="357">
        <f>+AJ51/AJ48</f>
        <v>0.2252353519741464</v>
      </c>
      <c r="AL53" s="358">
        <f>+AL51/AL48</f>
        <v>0.23731448763250884</v>
      </c>
      <c r="AM53" s="358"/>
      <c r="AN53" s="358">
        <f>+AN51/AN48</f>
        <v>0.25246142542248345</v>
      </c>
      <c r="AP53" s="359">
        <f>+AP51/AP48</f>
        <v>0.1952008168822328</v>
      </c>
      <c r="AQ53" s="170"/>
      <c r="AR53" s="357">
        <f>+AR51/AR48</f>
        <v>0.19524298425735798</v>
      </c>
      <c r="AT53" s="358">
        <f>+AT51/AT48</f>
        <v>0.17017543859649123</v>
      </c>
      <c r="AU53" s="358"/>
      <c r="AV53" s="358">
        <f>+AV51/AV48</f>
        <v>0.18926553672316385</v>
      </c>
      <c r="AX53" s="359">
        <f>+AX51/AX48</f>
        <v>0.16951316839584996</v>
      </c>
      <c r="AY53" s="170"/>
      <c r="AZ53" s="357">
        <f>+AZ51/AZ48</f>
        <v>0.14839529710835717</v>
      </c>
      <c r="BB53" s="358">
        <f>+BB51/BB48</f>
        <v>0.12778505897771952</v>
      </c>
      <c r="BC53" s="358"/>
      <c r="BD53" s="834">
        <f>+BD51/BD48</f>
        <v>0.1001610305958132</v>
      </c>
      <c r="BF53" s="359" t="e">
        <f>+BF51/BF48</f>
        <v>#DIV/0!</v>
      </c>
    </row>
    <row r="54" spans="2:58" ht="12.75">
      <c r="B54" s="152"/>
      <c r="D54" s="115"/>
      <c r="I54" s="61"/>
      <c r="J54" s="104"/>
      <c r="L54" s="115"/>
      <c r="Q54" s="61"/>
      <c r="R54" s="104"/>
      <c r="T54" s="115"/>
      <c r="Y54" s="61"/>
      <c r="Z54" s="104"/>
      <c r="AB54" s="115"/>
      <c r="AG54" s="61"/>
      <c r="AH54" s="104"/>
      <c r="AJ54" s="115"/>
      <c r="AO54" s="61"/>
      <c r="AP54" s="104"/>
      <c r="AR54" s="115"/>
      <c r="AW54" s="61"/>
      <c r="AX54" s="104"/>
      <c r="AZ54" s="115"/>
      <c r="BD54" s="183"/>
      <c r="BE54" s="61"/>
      <c r="BF54" s="104"/>
    </row>
    <row r="55" spans="1:58" s="60" customFormat="1" ht="12.75">
      <c r="A55" s="104"/>
      <c r="B55" s="152" t="s">
        <v>140</v>
      </c>
      <c r="C55" s="111"/>
      <c r="D55" s="248">
        <f>38+15</f>
        <v>53</v>
      </c>
      <c r="E55" s="360">
        <f>+F55-D55</f>
        <v>58</v>
      </c>
      <c r="F55" s="247">
        <f>83+28</f>
        <v>111</v>
      </c>
      <c r="G55" s="360">
        <f>+H55-F55</f>
        <v>51</v>
      </c>
      <c r="H55" s="247">
        <f>118+44</f>
        <v>162</v>
      </c>
      <c r="I55" s="360">
        <f>+J55-H55</f>
        <v>109</v>
      </c>
      <c r="J55" s="277">
        <f>179+92</f>
        <v>271</v>
      </c>
      <c r="K55" s="111"/>
      <c r="L55" s="248">
        <f>34+15</f>
        <v>49</v>
      </c>
      <c r="M55" s="360">
        <f>+N55-L55</f>
        <v>56</v>
      </c>
      <c r="N55" s="247">
        <f>77+28</f>
        <v>105</v>
      </c>
      <c r="O55" s="360">
        <f>+P55-N55</f>
        <v>51</v>
      </c>
      <c r="P55" s="247">
        <f>112+44</f>
        <v>156</v>
      </c>
      <c r="Q55" s="360">
        <f>+R55-P55</f>
        <v>107</v>
      </c>
      <c r="R55" s="277">
        <f>171+92</f>
        <v>263</v>
      </c>
      <c r="S55" s="111"/>
      <c r="T55" s="248">
        <f>53+20</f>
        <v>73</v>
      </c>
      <c r="U55" s="360">
        <f>+V55-T55</f>
        <v>69</v>
      </c>
      <c r="V55" s="247">
        <f>112+30</f>
        <v>142</v>
      </c>
      <c r="W55" s="360">
        <f>+X55-V55</f>
        <v>102</v>
      </c>
      <c r="X55" s="247">
        <f>198+46</f>
        <v>244</v>
      </c>
      <c r="Y55" s="360">
        <f>+Z55-X55</f>
        <v>143</v>
      </c>
      <c r="Z55" s="277">
        <f>320+67</f>
        <v>387</v>
      </c>
      <c r="AA55" s="111"/>
      <c r="AB55" s="248">
        <f>53+20</f>
        <v>73</v>
      </c>
      <c r="AC55" s="360">
        <f>+AD55-AB55</f>
        <v>69</v>
      </c>
      <c r="AD55" s="247">
        <f>112+30</f>
        <v>142</v>
      </c>
      <c r="AE55" s="360">
        <f>+AF55-AD55</f>
        <v>102</v>
      </c>
      <c r="AF55" s="247">
        <f>198+46</f>
        <v>244</v>
      </c>
      <c r="AG55" s="360">
        <f>+AH55-AF55</f>
        <v>143</v>
      </c>
      <c r="AH55" s="277">
        <f>320+67</f>
        <v>387</v>
      </c>
      <c r="AI55" s="111"/>
      <c r="AJ55" s="248">
        <f>57+41</f>
        <v>98</v>
      </c>
      <c r="AK55" s="360">
        <f>+AL55-AJ55</f>
        <v>159</v>
      </c>
      <c r="AL55" s="247">
        <f>188+69</f>
        <v>257</v>
      </c>
      <c r="AM55" s="360">
        <f>+AN55-AL55</f>
        <v>130</v>
      </c>
      <c r="AN55" s="247">
        <f>281+106</f>
        <v>387</v>
      </c>
      <c r="AO55" s="360">
        <f>+AP55-AN55</f>
        <v>141</v>
      </c>
      <c r="AP55" s="277">
        <f>389+139</f>
        <v>528</v>
      </c>
      <c r="AQ55" s="111"/>
      <c r="AR55" s="248">
        <v>95</v>
      </c>
      <c r="AS55" s="360">
        <f>+AT55-AR55</f>
        <v>92</v>
      </c>
      <c r="AT55" s="247">
        <f>146+41</f>
        <v>187</v>
      </c>
      <c r="AU55" s="360">
        <f>+AV55-AT55</f>
        <v>30</v>
      </c>
      <c r="AV55" s="247">
        <v>217</v>
      </c>
      <c r="AW55" s="360">
        <f>+AX55-AV55</f>
        <v>188</v>
      </c>
      <c r="AX55" s="277">
        <f>337+68</f>
        <v>405</v>
      </c>
      <c r="AY55" s="111"/>
      <c r="AZ55" s="248">
        <v>108</v>
      </c>
      <c r="BA55" s="360">
        <f>+BB55-AZ55</f>
        <v>87</v>
      </c>
      <c r="BB55" s="247">
        <f>153+42</f>
        <v>195</v>
      </c>
      <c r="BC55" s="360">
        <f>+BD55-BB55</f>
        <v>33</v>
      </c>
      <c r="BD55" s="247">
        <v>228</v>
      </c>
      <c r="BE55" s="360">
        <f>+BF55-BD55</f>
        <v>-228</v>
      </c>
      <c r="BF55" s="277"/>
    </row>
    <row r="56" spans="2:58" s="60" customFormat="1" ht="12.75">
      <c r="B56" s="155"/>
      <c r="D56" s="100"/>
      <c r="F56" s="247"/>
      <c r="J56" s="277"/>
      <c r="L56" s="100"/>
      <c r="N56" s="247"/>
      <c r="R56" s="277"/>
      <c r="T56" s="100"/>
      <c r="V56" s="247"/>
      <c r="Z56" s="277"/>
      <c r="AB56" s="100"/>
      <c r="AD56" s="247"/>
      <c r="AH56" s="277"/>
      <c r="AJ56" s="100"/>
      <c r="AL56" s="247"/>
      <c r="AP56" s="277"/>
      <c r="AR56" s="100"/>
      <c r="AT56" s="247"/>
      <c r="AX56" s="277"/>
      <c r="AZ56" s="100"/>
      <c r="BB56" s="247"/>
      <c r="BD56" s="183"/>
      <c r="BF56" s="277"/>
    </row>
    <row r="57" spans="2:58" s="60" customFormat="1" ht="12.75">
      <c r="B57" s="341" t="s">
        <v>522</v>
      </c>
      <c r="D57" s="265">
        <v>3247</v>
      </c>
      <c r="E57" s="266"/>
      <c r="F57" s="266">
        <v>3252</v>
      </c>
      <c r="G57" s="267"/>
      <c r="H57" s="267">
        <v>3260</v>
      </c>
      <c r="I57" s="169"/>
      <c r="J57" s="279">
        <v>3240</v>
      </c>
      <c r="L57" s="265">
        <v>3181</v>
      </c>
      <c r="M57" s="266"/>
      <c r="N57" s="266">
        <v>3193</v>
      </c>
      <c r="O57" s="267"/>
      <c r="P57" s="267">
        <v>3201</v>
      </c>
      <c r="Q57" s="169"/>
      <c r="R57" s="279">
        <v>3183</v>
      </c>
      <c r="T57" s="265">
        <v>3161</v>
      </c>
      <c r="U57" s="266"/>
      <c r="V57" s="266">
        <v>3145</v>
      </c>
      <c r="W57" s="267"/>
      <c r="X57" s="267">
        <v>3146</v>
      </c>
      <c r="Y57" s="169"/>
      <c r="Z57" s="279">
        <v>3101</v>
      </c>
      <c r="AB57" s="265">
        <v>3161</v>
      </c>
      <c r="AC57" s="266"/>
      <c r="AD57" s="266">
        <v>3145</v>
      </c>
      <c r="AE57" s="267"/>
      <c r="AF57" s="267">
        <v>3146</v>
      </c>
      <c r="AG57" s="169"/>
      <c r="AH57" s="279">
        <v>3101</v>
      </c>
      <c r="AJ57" s="265">
        <v>3103</v>
      </c>
      <c r="AK57" s="266"/>
      <c r="AL57" s="266">
        <v>3086</v>
      </c>
      <c r="AM57" s="267"/>
      <c r="AN57" s="267">
        <v>3071</v>
      </c>
      <c r="AO57" s="169"/>
      <c r="AP57" s="279">
        <v>3066</v>
      </c>
      <c r="AR57" s="265">
        <v>2948</v>
      </c>
      <c r="AS57" s="266"/>
      <c r="AT57" s="266">
        <v>5047</v>
      </c>
      <c r="AU57" s="267"/>
      <c r="AV57" s="267">
        <v>4920</v>
      </c>
      <c r="AW57" s="169"/>
      <c r="AX57" s="279">
        <v>4949</v>
      </c>
      <c r="AZ57" s="455" t="s">
        <v>538</v>
      </c>
      <c r="BA57" s="266"/>
      <c r="BB57" s="266">
        <v>5017</v>
      </c>
      <c r="BC57" s="267"/>
      <c r="BD57" s="460" t="s">
        <v>538</v>
      </c>
      <c r="BE57" s="169"/>
      <c r="BF57" s="279"/>
    </row>
    <row r="58" spans="4:56" s="60" customFormat="1" ht="12.75">
      <c r="D58" s="183"/>
      <c r="E58" s="183"/>
      <c r="F58" s="183"/>
      <c r="G58" s="183"/>
      <c r="H58" s="183"/>
      <c r="I58" s="183"/>
      <c r="J58" s="183"/>
      <c r="BD58" s="183"/>
    </row>
    <row r="59" spans="4:56" s="51" customFormat="1" ht="12.75">
      <c r="D59" s="183"/>
      <c r="E59" s="183"/>
      <c r="F59" s="183"/>
      <c r="G59" s="183"/>
      <c r="H59" s="183"/>
      <c r="I59" s="183"/>
      <c r="J59" s="183"/>
      <c r="BD59" s="183"/>
    </row>
    <row r="60" spans="2:58" s="53" customFormat="1" ht="17.25" customHeight="1">
      <c r="B60" s="148" t="s">
        <v>220</v>
      </c>
      <c r="D60" s="451" t="s">
        <v>232</v>
      </c>
      <c r="E60" s="452" t="s">
        <v>233</v>
      </c>
      <c r="F60" s="452" t="s">
        <v>234</v>
      </c>
      <c r="G60" s="452" t="s">
        <v>235</v>
      </c>
      <c r="H60" s="452" t="s">
        <v>236</v>
      </c>
      <c r="I60" s="452" t="s">
        <v>237</v>
      </c>
      <c r="J60" s="453" t="s">
        <v>238</v>
      </c>
      <c r="L60" s="451" t="s">
        <v>232</v>
      </c>
      <c r="M60" s="452" t="s">
        <v>233</v>
      </c>
      <c r="N60" s="452" t="s">
        <v>234</v>
      </c>
      <c r="O60" s="452" t="s">
        <v>235</v>
      </c>
      <c r="P60" s="452" t="s">
        <v>236</v>
      </c>
      <c r="Q60" s="452" t="s">
        <v>237</v>
      </c>
      <c r="R60" s="453" t="s">
        <v>238</v>
      </c>
      <c r="T60" s="451" t="s">
        <v>247</v>
      </c>
      <c r="U60" s="452" t="s">
        <v>248</v>
      </c>
      <c r="V60" s="452" t="s">
        <v>249</v>
      </c>
      <c r="W60" s="452" t="s">
        <v>250</v>
      </c>
      <c r="X60" s="452" t="s">
        <v>251</v>
      </c>
      <c r="Y60" s="452" t="s">
        <v>252</v>
      </c>
      <c r="Z60" s="453" t="s">
        <v>253</v>
      </c>
      <c r="AB60" s="451" t="str">
        <f aca="true" t="shared" si="46" ref="AB60:AH60">+AB4</f>
        <v>IQ 2014</v>
      </c>
      <c r="AC60" s="452" t="str">
        <f t="shared" si="46"/>
        <v>IIQ 2014</v>
      </c>
      <c r="AD60" s="452" t="str">
        <f t="shared" si="46"/>
        <v>IH 2014</v>
      </c>
      <c r="AE60" s="452" t="str">
        <f t="shared" si="46"/>
        <v>III Q 2014</v>
      </c>
      <c r="AF60" s="452" t="str">
        <f t="shared" si="46"/>
        <v>9M 2014</v>
      </c>
      <c r="AG60" s="452" t="str">
        <f t="shared" si="46"/>
        <v>IV Q 2014</v>
      </c>
      <c r="AH60" s="453" t="str">
        <f t="shared" si="46"/>
        <v>FY 2014</v>
      </c>
      <c r="AJ60" s="451" t="str">
        <f aca="true" t="shared" si="47" ref="AJ60:AP60">+AJ4</f>
        <v>IQ 2015</v>
      </c>
      <c r="AK60" s="452" t="str">
        <f t="shared" si="47"/>
        <v>IIQ 2015</v>
      </c>
      <c r="AL60" s="452" t="str">
        <f t="shared" si="47"/>
        <v>IH 2015</v>
      </c>
      <c r="AM60" s="452" t="str">
        <f t="shared" si="47"/>
        <v>III Q 2015</v>
      </c>
      <c r="AN60" s="452" t="str">
        <f t="shared" si="47"/>
        <v>9M 2015</v>
      </c>
      <c r="AO60" s="452" t="str">
        <f t="shared" si="47"/>
        <v>IV Q 2015</v>
      </c>
      <c r="AP60" s="453" t="str">
        <f t="shared" si="47"/>
        <v>FY 2015</v>
      </c>
      <c r="AR60" s="451" t="s">
        <v>295</v>
      </c>
      <c r="AS60" s="452" t="s">
        <v>296</v>
      </c>
      <c r="AT60" s="452" t="s">
        <v>297</v>
      </c>
      <c r="AU60" s="452" t="s">
        <v>298</v>
      </c>
      <c r="AV60" s="452" t="s">
        <v>299</v>
      </c>
      <c r="AW60" s="452" t="s">
        <v>300</v>
      </c>
      <c r="AX60" s="453" t="s">
        <v>371</v>
      </c>
      <c r="AZ60" s="451" t="str">
        <f>+AZ44</f>
        <v>IQ 2017</v>
      </c>
      <c r="BA60" s="451" t="str">
        <f aca="true" t="shared" si="48" ref="BA60:BF60">+BA44</f>
        <v>IIQ 2017</v>
      </c>
      <c r="BB60" s="451" t="str">
        <f t="shared" si="48"/>
        <v>IH 2017 (5) </v>
      </c>
      <c r="BC60" s="451" t="str">
        <f t="shared" si="48"/>
        <v>III Q 2017</v>
      </c>
      <c r="BD60" s="451" t="str">
        <f t="shared" si="48"/>
        <v>9M 2017</v>
      </c>
      <c r="BE60" s="451" t="str">
        <f t="shared" si="48"/>
        <v>IV Q 2017</v>
      </c>
      <c r="BF60" s="451" t="str">
        <f t="shared" si="48"/>
        <v>FY 2017 (1)</v>
      </c>
    </row>
    <row r="61" spans="1:58" ht="12.75">
      <c r="A61" s="53"/>
      <c r="B61" s="173"/>
      <c r="D61" s="97"/>
      <c r="E61" s="183"/>
      <c r="F61" s="183"/>
      <c r="G61" s="183"/>
      <c r="H61" s="183"/>
      <c r="I61" s="183"/>
      <c r="J61" s="114"/>
      <c r="L61" s="115"/>
      <c r="Q61" s="59"/>
      <c r="R61" s="104"/>
      <c r="T61" s="115"/>
      <c r="Z61" s="104"/>
      <c r="AB61" s="115"/>
      <c r="AH61" s="104"/>
      <c r="AJ61" s="115"/>
      <c r="AP61" s="104"/>
      <c r="AR61" s="115"/>
      <c r="AX61" s="104"/>
      <c r="AZ61" s="115"/>
      <c r="BD61" s="183"/>
      <c r="BF61" s="104"/>
    </row>
    <row r="62" spans="1:58" ht="12.75">
      <c r="A62" s="55"/>
      <c r="B62" s="151" t="s">
        <v>163</v>
      </c>
      <c r="D62" s="164">
        <f>D6</f>
        <v>1804</v>
      </c>
      <c r="E62" s="57">
        <f>+F62-D62</f>
        <v>1827</v>
      </c>
      <c r="F62" s="65">
        <f>F6</f>
        <v>3631</v>
      </c>
      <c r="G62" s="57">
        <f>+H62-F62</f>
        <v>1791</v>
      </c>
      <c r="H62" s="65">
        <f>H6</f>
        <v>5422</v>
      </c>
      <c r="I62" s="57">
        <f>+J62-H62</f>
        <v>1897</v>
      </c>
      <c r="J62" s="92">
        <f>J6</f>
        <v>7319</v>
      </c>
      <c r="L62" s="164">
        <f>L6</f>
        <v>1756</v>
      </c>
      <c r="M62" s="57">
        <f>+N62-L62</f>
        <v>1787</v>
      </c>
      <c r="N62" s="65">
        <f>N6</f>
        <v>3543</v>
      </c>
      <c r="O62" s="57">
        <f>+P62-N62</f>
        <v>1737</v>
      </c>
      <c r="P62" s="65">
        <f>P6</f>
        <v>5280</v>
      </c>
      <c r="Q62" s="57">
        <f>+R62-P62</f>
        <v>1882</v>
      </c>
      <c r="R62" s="92">
        <f>R6</f>
        <v>7162</v>
      </c>
      <c r="T62" s="164">
        <f>T6</f>
        <v>2245</v>
      </c>
      <c r="U62" s="57">
        <f>+V62-T62</f>
        <v>1766</v>
      </c>
      <c r="V62" s="65">
        <f>V6</f>
        <v>4011</v>
      </c>
      <c r="W62" s="57">
        <f>+X62-V62</f>
        <v>1889</v>
      </c>
      <c r="X62" s="65">
        <f>X6</f>
        <v>5900</v>
      </c>
      <c r="Y62" s="57">
        <f>+Z62-X62</f>
        <v>1959</v>
      </c>
      <c r="Z62" s="92">
        <f>Z6</f>
        <v>7859</v>
      </c>
      <c r="AB62" s="301">
        <f>AB6</f>
        <v>2115</v>
      </c>
      <c r="AC62" s="288">
        <f>+AD62-AB62</f>
        <v>1754</v>
      </c>
      <c r="AD62" s="288">
        <f>AD6</f>
        <v>3869</v>
      </c>
      <c r="AE62" s="288">
        <f>+AF62-AD62</f>
        <v>1912</v>
      </c>
      <c r="AF62" s="288">
        <f>AF6</f>
        <v>5781</v>
      </c>
      <c r="AG62" s="288">
        <f>+AH62-AF62</f>
        <v>2078</v>
      </c>
      <c r="AH62" s="282">
        <f>AH6</f>
        <v>7859</v>
      </c>
      <c r="AJ62" s="301">
        <f>AJ6</f>
        <v>1703</v>
      </c>
      <c r="AK62" s="288">
        <f>+AL62-AJ62</f>
        <v>1581</v>
      </c>
      <c r="AL62" s="288">
        <f>AL6</f>
        <v>3284</v>
      </c>
      <c r="AM62" s="288">
        <f>+AN62-AL62</f>
        <v>1713</v>
      </c>
      <c r="AN62" s="288">
        <f>AN6</f>
        <v>4997</v>
      </c>
      <c r="AO62" s="288">
        <f>+AP62-AN62</f>
        <v>1532</v>
      </c>
      <c r="AP62" s="282">
        <f>AP6</f>
        <v>6529</v>
      </c>
      <c r="AR62" s="301">
        <f>AR6</f>
        <v>1361</v>
      </c>
      <c r="AS62" s="288">
        <f>+AT62-AR62</f>
        <v>1289</v>
      </c>
      <c r="AT62" s="288">
        <f>+AT6</f>
        <v>2650</v>
      </c>
      <c r="AU62" s="288">
        <f>AV62-AT62</f>
        <v>1413</v>
      </c>
      <c r="AV62" s="288">
        <f>+AV6</f>
        <v>4063</v>
      </c>
      <c r="AW62" s="288">
        <f>+AX62-AV62</f>
        <v>1619</v>
      </c>
      <c r="AX62" s="282">
        <f>+AX6</f>
        <v>5682</v>
      </c>
      <c r="AZ62" s="301">
        <f>+AZ6</f>
        <v>1387</v>
      </c>
      <c r="BA62" s="288">
        <f>+BB62-AZ62</f>
        <v>1157</v>
      </c>
      <c r="BB62" s="288">
        <f>+BB6</f>
        <v>2544</v>
      </c>
      <c r="BC62" s="288">
        <f>BD62-BB62</f>
        <v>1317</v>
      </c>
      <c r="BD62" s="288">
        <f>+BD6</f>
        <v>3861</v>
      </c>
      <c r="BE62" s="288">
        <f>+BF62-BD62</f>
        <v>-3861</v>
      </c>
      <c r="BF62" s="282">
        <f>+BF6</f>
        <v>0</v>
      </c>
    </row>
    <row r="63" spans="1:58" ht="12.75">
      <c r="A63" s="55"/>
      <c r="B63" s="151"/>
      <c r="D63" s="164"/>
      <c r="E63" s="57"/>
      <c r="F63" s="65"/>
      <c r="G63" s="57"/>
      <c r="H63" s="65"/>
      <c r="I63" s="57"/>
      <c r="J63" s="92"/>
      <c r="L63" s="164"/>
      <c r="M63" s="57"/>
      <c r="N63" s="65"/>
      <c r="O63" s="57"/>
      <c r="P63" s="65"/>
      <c r="Q63" s="57"/>
      <c r="R63" s="92"/>
      <c r="T63" s="164"/>
      <c r="U63" s="57"/>
      <c r="V63" s="65"/>
      <c r="W63" s="57"/>
      <c r="X63" s="65"/>
      <c r="Y63" s="57"/>
      <c r="Z63" s="92"/>
      <c r="AB63" s="301"/>
      <c r="AC63" s="288"/>
      <c r="AD63" s="288"/>
      <c r="AE63" s="288"/>
      <c r="AF63" s="288"/>
      <c r="AG63" s="288"/>
      <c r="AH63" s="282"/>
      <c r="AJ63" s="301"/>
      <c r="AK63" s="288"/>
      <c r="AL63" s="288"/>
      <c r="AM63" s="288"/>
      <c r="AN63" s="288"/>
      <c r="AO63" s="288"/>
      <c r="AP63" s="282"/>
      <c r="AR63" s="301"/>
      <c r="AS63" s="288"/>
      <c r="AT63" s="288"/>
      <c r="AU63" s="288"/>
      <c r="AV63" s="288"/>
      <c r="AW63" s="288"/>
      <c r="AX63" s="282"/>
      <c r="AZ63" s="301"/>
      <c r="BA63" s="288"/>
      <c r="BB63" s="288"/>
      <c r="BC63" s="288"/>
      <c r="BD63" s="288"/>
      <c r="BE63" s="288"/>
      <c r="BF63" s="282"/>
    </row>
    <row r="64" spans="1:58" ht="12.75">
      <c r="A64" s="63"/>
      <c r="B64" s="347" t="s">
        <v>373</v>
      </c>
      <c r="D64" s="342">
        <f>+D17</f>
        <v>157</v>
      </c>
      <c r="E64" s="25">
        <f>+F64-D64</f>
        <v>212</v>
      </c>
      <c r="F64" s="343">
        <f>+F17</f>
        <v>369</v>
      </c>
      <c r="G64" s="25">
        <f>+H64-F64</f>
        <v>172</v>
      </c>
      <c r="H64" s="343">
        <f>+H17</f>
        <v>541</v>
      </c>
      <c r="I64" s="25">
        <f>+J64-H64</f>
        <v>165</v>
      </c>
      <c r="J64" s="344">
        <f>+J17</f>
        <v>706</v>
      </c>
      <c r="L64" s="342">
        <f>L17</f>
        <v>149</v>
      </c>
      <c r="M64" s="288">
        <f>+N64-L64</f>
        <v>204</v>
      </c>
      <c r="N64" s="343">
        <f>N17</f>
        <v>353</v>
      </c>
      <c r="O64" s="288">
        <f>+P64-N64</f>
        <v>159</v>
      </c>
      <c r="P64" s="343">
        <f>P17</f>
        <v>512</v>
      </c>
      <c r="Q64" s="288">
        <f>+R64-P64</f>
        <v>154</v>
      </c>
      <c r="R64" s="344">
        <f>R17</f>
        <v>666</v>
      </c>
      <c r="T64" s="342">
        <f>T17</f>
        <v>188</v>
      </c>
      <c r="U64" s="288">
        <f>+V64-T64</f>
        <v>176</v>
      </c>
      <c r="V64" s="343">
        <f>V17</f>
        <v>364</v>
      </c>
      <c r="W64" s="288">
        <f>+X64-V64</f>
        <v>146</v>
      </c>
      <c r="X64" s="343">
        <f>X17</f>
        <v>510</v>
      </c>
      <c r="Y64" s="288">
        <f>+Z64-X64</f>
        <v>180</v>
      </c>
      <c r="Z64" s="344">
        <f>Z17</f>
        <v>690</v>
      </c>
      <c r="AB64" s="345">
        <f aca="true" t="shared" si="49" ref="AB64:AH64">+AB17</f>
        <v>188</v>
      </c>
      <c r="AC64" s="304">
        <f t="shared" si="49"/>
        <v>176</v>
      </c>
      <c r="AD64" s="304">
        <f t="shared" si="49"/>
        <v>364</v>
      </c>
      <c r="AE64" s="304">
        <f t="shared" si="49"/>
        <v>146</v>
      </c>
      <c r="AF64" s="304">
        <f t="shared" si="49"/>
        <v>510</v>
      </c>
      <c r="AG64" s="304">
        <f t="shared" si="49"/>
        <v>180</v>
      </c>
      <c r="AH64" s="346">
        <f t="shared" si="49"/>
        <v>690</v>
      </c>
      <c r="AJ64" s="345">
        <f aca="true" t="shared" si="50" ref="AJ64:AP64">+AJ17</f>
        <v>109</v>
      </c>
      <c r="AK64" s="304">
        <f t="shared" si="50"/>
        <v>99</v>
      </c>
      <c r="AL64" s="304">
        <f t="shared" si="50"/>
        <v>208</v>
      </c>
      <c r="AM64" s="304">
        <f t="shared" si="50"/>
        <v>79</v>
      </c>
      <c r="AN64" s="304">
        <f t="shared" si="50"/>
        <v>287</v>
      </c>
      <c r="AO64" s="304">
        <f t="shared" si="50"/>
        <v>-11</v>
      </c>
      <c r="AP64" s="346">
        <f t="shared" si="50"/>
        <v>276</v>
      </c>
      <c r="AR64" s="345">
        <f>AR17</f>
        <v>43</v>
      </c>
      <c r="AS64" s="304">
        <f>+AT64-AR64</f>
        <v>79</v>
      </c>
      <c r="AT64" s="304">
        <f>+AT17</f>
        <v>122</v>
      </c>
      <c r="AU64" s="304">
        <f>AV64-AT64</f>
        <v>60</v>
      </c>
      <c r="AV64" s="304">
        <f>+AV17</f>
        <v>182</v>
      </c>
      <c r="AW64" s="304">
        <f>+AX64-AV64</f>
        <v>60</v>
      </c>
      <c r="AX64" s="346">
        <f>+AX17</f>
        <v>242</v>
      </c>
      <c r="AZ64" s="345">
        <f>+AZ17</f>
        <v>68</v>
      </c>
      <c r="BA64" s="304">
        <f>+BB64-AZ64</f>
        <v>63</v>
      </c>
      <c r="BB64" s="304">
        <f>+BB17</f>
        <v>131</v>
      </c>
      <c r="BC64" s="304">
        <f>BD64-BB64</f>
        <v>101</v>
      </c>
      <c r="BD64" s="304">
        <f>+BD17</f>
        <v>232</v>
      </c>
      <c r="BE64" s="304">
        <f>+BF64-BD64</f>
        <v>-232</v>
      </c>
      <c r="BF64" s="346">
        <f>+BF17</f>
        <v>0</v>
      </c>
    </row>
    <row r="65" spans="1:58" ht="12.75">
      <c r="A65" s="63"/>
      <c r="B65" s="298" t="s">
        <v>523</v>
      </c>
      <c r="D65" s="261">
        <v>152</v>
      </c>
      <c r="E65" s="57">
        <f>+F65-D65</f>
        <v>206</v>
      </c>
      <c r="F65" s="262">
        <v>358</v>
      </c>
      <c r="G65" s="57">
        <f>+H65-F65</f>
        <v>167</v>
      </c>
      <c r="H65" s="262">
        <v>525</v>
      </c>
      <c r="I65" s="57">
        <f>+J65-H65</f>
        <v>171</v>
      </c>
      <c r="J65" s="278">
        <v>696</v>
      </c>
      <c r="L65" s="261">
        <v>144</v>
      </c>
      <c r="M65" s="57">
        <f>+N65-L65</f>
        <v>198</v>
      </c>
      <c r="N65" s="262">
        <v>342</v>
      </c>
      <c r="O65" s="57">
        <f>+P65-N65</f>
        <v>155</v>
      </c>
      <c r="P65" s="262">
        <v>497</v>
      </c>
      <c r="Q65" s="57">
        <f>+R65-P65</f>
        <v>159</v>
      </c>
      <c r="R65" s="278">
        <v>656</v>
      </c>
      <c r="T65" s="261">
        <v>185</v>
      </c>
      <c r="U65" s="57">
        <f>+V65-T65</f>
        <v>171</v>
      </c>
      <c r="V65" s="262">
        <v>356</v>
      </c>
      <c r="W65" s="57">
        <f>+X65-V65</f>
        <v>136</v>
      </c>
      <c r="X65" s="262">
        <v>492</v>
      </c>
      <c r="Y65" s="57">
        <f>+Z65-X65</f>
        <v>160</v>
      </c>
      <c r="Z65" s="278">
        <v>652</v>
      </c>
      <c r="AB65" s="261">
        <v>185</v>
      </c>
      <c r="AC65" s="57">
        <f>+AD65-AB65</f>
        <v>171</v>
      </c>
      <c r="AD65" s="262">
        <v>356</v>
      </c>
      <c r="AE65" s="57">
        <f>+AF65-AD65</f>
        <v>136</v>
      </c>
      <c r="AF65" s="262">
        <v>492</v>
      </c>
      <c r="AG65" s="57">
        <f>+AH65-AF65</f>
        <v>160</v>
      </c>
      <c r="AH65" s="278">
        <v>652</v>
      </c>
      <c r="AJ65" s="261">
        <v>95</v>
      </c>
      <c r="AK65" s="57">
        <f>+AL65-AJ65</f>
        <v>108</v>
      </c>
      <c r="AL65" s="262">
        <v>203</v>
      </c>
      <c r="AM65" s="57">
        <f>+AN65-AL65</f>
        <v>122</v>
      </c>
      <c r="AN65" s="262">
        <v>325</v>
      </c>
      <c r="AO65" s="57">
        <f>+AP65-AN65</f>
        <v>35</v>
      </c>
      <c r="AP65" s="278">
        <v>360</v>
      </c>
      <c r="AR65" s="261">
        <v>71</v>
      </c>
      <c r="AS65" s="304">
        <f>+AT65-AR65</f>
        <v>118</v>
      </c>
      <c r="AT65" s="262">
        <v>189</v>
      </c>
      <c r="AU65" s="304">
        <f>AV65-AT65</f>
        <v>100</v>
      </c>
      <c r="AV65" s="262">
        <v>289</v>
      </c>
      <c r="AW65" s="304">
        <f>+AX65-AV65</f>
        <v>97</v>
      </c>
      <c r="AX65" s="278">
        <v>386</v>
      </c>
      <c r="AZ65" s="261">
        <v>74</v>
      </c>
      <c r="BA65" s="304">
        <f>+BB65-AZ65</f>
        <v>68</v>
      </c>
      <c r="BB65" s="262">
        <v>142</v>
      </c>
      <c r="BC65" s="304">
        <f>BD65-BB65</f>
        <v>108</v>
      </c>
      <c r="BD65" s="262">
        <v>250</v>
      </c>
      <c r="BE65" s="304">
        <f>+BF65-BD65</f>
        <v>-250</v>
      </c>
      <c r="BF65" s="278"/>
    </row>
    <row r="66" spans="1:58" ht="12.75">
      <c r="A66" s="63"/>
      <c r="B66" s="298"/>
      <c r="D66" s="261"/>
      <c r="E66" s="57"/>
      <c r="F66" s="262"/>
      <c r="G66" s="57"/>
      <c r="H66" s="262"/>
      <c r="I66" s="57"/>
      <c r="J66" s="278"/>
      <c r="L66" s="261"/>
      <c r="M66" s="57"/>
      <c r="N66" s="262"/>
      <c r="O66" s="57"/>
      <c r="P66" s="262"/>
      <c r="Q66" s="57"/>
      <c r="R66" s="278"/>
      <c r="T66" s="261"/>
      <c r="U66" s="57"/>
      <c r="V66" s="262"/>
      <c r="W66" s="57"/>
      <c r="X66" s="262"/>
      <c r="Y66" s="57"/>
      <c r="Z66" s="278"/>
      <c r="AB66" s="261"/>
      <c r="AC66" s="57"/>
      <c r="AD66" s="262"/>
      <c r="AE66" s="57"/>
      <c r="AF66" s="262"/>
      <c r="AG66" s="57"/>
      <c r="AH66" s="278"/>
      <c r="AJ66" s="261"/>
      <c r="AK66" s="57"/>
      <c r="AL66" s="262"/>
      <c r="AM66" s="57"/>
      <c r="AN66" s="262"/>
      <c r="AO66" s="57"/>
      <c r="AP66" s="278"/>
      <c r="AR66" s="261"/>
      <c r="AS66" s="304"/>
      <c r="AT66" s="262"/>
      <c r="AU66" s="304"/>
      <c r="AV66" s="262"/>
      <c r="AW66" s="304"/>
      <c r="AX66" s="278"/>
      <c r="AZ66" s="261"/>
      <c r="BA66" s="304"/>
      <c r="BB66" s="262"/>
      <c r="BC66" s="304"/>
      <c r="BD66" s="262"/>
      <c r="BE66" s="304"/>
      <c r="BF66" s="278"/>
    </row>
    <row r="67" spans="1:58" s="60" customFormat="1" ht="12.75">
      <c r="A67" s="59"/>
      <c r="B67" s="152" t="s">
        <v>291</v>
      </c>
      <c r="D67" s="253">
        <v>-13</v>
      </c>
      <c r="E67" s="179">
        <f>+F67-D67</f>
        <v>-1</v>
      </c>
      <c r="F67" s="191">
        <v>-14</v>
      </c>
      <c r="G67" s="179">
        <f>+H67-F67</f>
        <v>11</v>
      </c>
      <c r="H67" s="191">
        <v>-3</v>
      </c>
      <c r="I67" s="179">
        <f>+J67-H67</f>
        <v>11</v>
      </c>
      <c r="J67" s="280">
        <v>8</v>
      </c>
      <c r="L67" s="253">
        <v>-13</v>
      </c>
      <c r="M67" s="179">
        <f>+N67-L67</f>
        <v>-1</v>
      </c>
      <c r="N67" s="191">
        <v>-14</v>
      </c>
      <c r="O67" s="179">
        <f>+P67-N67</f>
        <v>11</v>
      </c>
      <c r="P67" s="191">
        <v>-3</v>
      </c>
      <c r="Q67" s="179">
        <f>+R67-P67</f>
        <v>25</v>
      </c>
      <c r="R67" s="280">
        <v>22</v>
      </c>
      <c r="T67" s="253">
        <v>-2</v>
      </c>
      <c r="U67" s="179">
        <f>+V67-T67</f>
        <v>3</v>
      </c>
      <c r="V67" s="191">
        <v>1</v>
      </c>
      <c r="W67" s="179">
        <f>+X67-V67</f>
        <v>2</v>
      </c>
      <c r="X67" s="191">
        <v>3</v>
      </c>
      <c r="Y67" s="179">
        <f>+Z67-X67</f>
        <v>3</v>
      </c>
      <c r="Z67" s="280">
        <v>6</v>
      </c>
      <c r="AB67" s="253">
        <v>-2</v>
      </c>
      <c r="AC67" s="179">
        <f>+AD67-AB67</f>
        <v>3</v>
      </c>
      <c r="AD67" s="191">
        <v>1</v>
      </c>
      <c r="AE67" s="179">
        <f>+AF67-AD67</f>
        <v>2</v>
      </c>
      <c r="AF67" s="191">
        <v>3</v>
      </c>
      <c r="AG67" s="179">
        <f>+AH67-AF67</f>
        <v>3</v>
      </c>
      <c r="AH67" s="280">
        <v>6</v>
      </c>
      <c r="AJ67" s="253">
        <v>4</v>
      </c>
      <c r="AK67" s="179">
        <f>+AL67-AJ67</f>
        <v>2</v>
      </c>
      <c r="AL67" s="191">
        <v>6</v>
      </c>
      <c r="AM67" s="179">
        <f>+AN67-AL67</f>
        <v>1</v>
      </c>
      <c r="AN67" s="191">
        <v>7</v>
      </c>
      <c r="AO67" s="179">
        <f>+AP67-AN67</f>
        <v>-23</v>
      </c>
      <c r="AP67" s="280">
        <v>-16</v>
      </c>
      <c r="AR67" s="253">
        <v>-2</v>
      </c>
      <c r="AS67" s="179">
        <f>+AT67-AR67</f>
        <v>2</v>
      </c>
      <c r="AT67" s="191">
        <v>0</v>
      </c>
      <c r="AU67" s="179">
        <f aca="true" t="shared" si="51" ref="AU67:AU73">AV67-AT67</f>
        <v>5</v>
      </c>
      <c r="AV67" s="191">
        <v>5</v>
      </c>
      <c r="AW67" s="179">
        <f>+AX67-AV67</f>
        <v>6</v>
      </c>
      <c r="AX67" s="280">
        <v>11</v>
      </c>
      <c r="AZ67" s="405" t="s">
        <v>538</v>
      </c>
      <c r="BA67" s="192" t="s">
        <v>538</v>
      </c>
      <c r="BB67" s="191">
        <v>5</v>
      </c>
      <c r="BC67" s="179" t="e">
        <f>BD67-BB67</f>
        <v>#VALUE!</v>
      </c>
      <c r="BD67" s="192" t="s">
        <v>538</v>
      </c>
      <c r="BE67" s="179" t="e">
        <f>+BF67-BD67</f>
        <v>#VALUE!</v>
      </c>
      <c r="BF67" s="280"/>
    </row>
    <row r="68" spans="1:58" s="60" customFormat="1" ht="12.75">
      <c r="A68" s="59"/>
      <c r="B68" s="189" t="s">
        <v>382</v>
      </c>
      <c r="D68" s="253">
        <v>-62</v>
      </c>
      <c r="E68" s="179">
        <f>+F68-D68</f>
        <v>-67</v>
      </c>
      <c r="F68" s="191">
        <v>-129</v>
      </c>
      <c r="G68" s="179">
        <f>+H68-F68</f>
        <v>-65</v>
      </c>
      <c r="H68" s="191">
        <v>-194</v>
      </c>
      <c r="I68" s="179">
        <f>+J68-H68</f>
        <v>-66</v>
      </c>
      <c r="J68" s="280">
        <v>-260</v>
      </c>
      <c r="L68" s="253">
        <v>-58</v>
      </c>
      <c r="M68" s="179">
        <f>+N68-L68</f>
        <v>-64</v>
      </c>
      <c r="N68" s="191">
        <v>-122</v>
      </c>
      <c r="O68" s="179">
        <f>+P68-N68</f>
        <v>-61</v>
      </c>
      <c r="P68" s="191">
        <v>-183</v>
      </c>
      <c r="Q68" s="179">
        <f>+R68-P68</f>
        <v>-62</v>
      </c>
      <c r="R68" s="280">
        <v>-245</v>
      </c>
      <c r="T68" s="253">
        <v>-59</v>
      </c>
      <c r="U68" s="179">
        <f>+V68-T68</f>
        <v>-58</v>
      </c>
      <c r="V68" s="191">
        <v>-117</v>
      </c>
      <c r="W68" s="179">
        <f>+X68-V68</f>
        <v>-58</v>
      </c>
      <c r="X68" s="191">
        <v>-175</v>
      </c>
      <c r="Y68" s="179">
        <f>+Z68-X68</f>
        <v>-56</v>
      </c>
      <c r="Z68" s="280">
        <v>-231</v>
      </c>
      <c r="AB68" s="253">
        <v>-59</v>
      </c>
      <c r="AC68" s="179">
        <f>+AD68-AB68</f>
        <v>-58</v>
      </c>
      <c r="AD68" s="191">
        <v>-117</v>
      </c>
      <c r="AE68" s="179">
        <f>+AF68-AD68</f>
        <v>-58</v>
      </c>
      <c r="AF68" s="191">
        <v>-175</v>
      </c>
      <c r="AG68" s="179">
        <f>+AH68-AF68</f>
        <v>-56</v>
      </c>
      <c r="AH68" s="280">
        <v>-231</v>
      </c>
      <c r="AJ68" s="253">
        <v>-58</v>
      </c>
      <c r="AK68" s="179">
        <f>+AL68-AJ68</f>
        <v>-57</v>
      </c>
      <c r="AL68" s="191">
        <v>-115</v>
      </c>
      <c r="AM68" s="179">
        <f>+AN68-AL68</f>
        <v>-59</v>
      </c>
      <c r="AN68" s="191">
        <v>-174</v>
      </c>
      <c r="AO68" s="179">
        <f>+AP68-AN68</f>
        <v>-78</v>
      </c>
      <c r="AP68" s="280">
        <v>-252</v>
      </c>
      <c r="AR68" s="253">
        <v>-43</v>
      </c>
      <c r="AS68" s="179">
        <f>+AT68-AR68</f>
        <v>-59</v>
      </c>
      <c r="AT68" s="191">
        <v>-102</v>
      </c>
      <c r="AU68" s="179">
        <f t="shared" si="51"/>
        <v>-53</v>
      </c>
      <c r="AV68" s="191">
        <v>-155</v>
      </c>
      <c r="AW68" s="179">
        <f>+AX68-AV68</f>
        <v>-56</v>
      </c>
      <c r="AX68" s="280">
        <v>-211</v>
      </c>
      <c r="AZ68" s="405" t="s">
        <v>538</v>
      </c>
      <c r="BA68" s="192" t="s">
        <v>538</v>
      </c>
      <c r="BB68" s="191">
        <v>-113</v>
      </c>
      <c r="BC68" s="179" t="e">
        <f>BD68-BB68</f>
        <v>#VALUE!</v>
      </c>
      <c r="BD68" s="192" t="s">
        <v>538</v>
      </c>
      <c r="BE68" s="179" t="e">
        <f>+BF68-BD68</f>
        <v>#VALUE!</v>
      </c>
      <c r="BF68" s="280"/>
    </row>
    <row r="69" spans="1:58" s="60" customFormat="1" ht="12.75">
      <c r="A69" s="59"/>
      <c r="B69" s="152" t="s">
        <v>383</v>
      </c>
      <c r="D69" s="253">
        <v>-2</v>
      </c>
      <c r="E69" s="179">
        <f>+F69-D69</f>
        <v>-47</v>
      </c>
      <c r="F69" s="191">
        <f>-46-3</f>
        <v>-49</v>
      </c>
      <c r="G69" s="179">
        <f>+H69-F69</f>
        <v>1</v>
      </c>
      <c r="H69" s="191">
        <f>-46-2</f>
        <v>-48</v>
      </c>
      <c r="I69" s="179">
        <f>+J69-H69</f>
        <v>2</v>
      </c>
      <c r="J69" s="280">
        <v>-46</v>
      </c>
      <c r="L69" s="253">
        <v>-2</v>
      </c>
      <c r="M69" s="179">
        <f>+N69-L69</f>
        <v>-47</v>
      </c>
      <c r="N69" s="191">
        <f>-46-3</f>
        <v>-49</v>
      </c>
      <c r="O69" s="179">
        <f>+P69-N69</f>
        <v>1</v>
      </c>
      <c r="P69" s="191">
        <f>-46-2</f>
        <v>-48</v>
      </c>
      <c r="Q69" s="179">
        <f>+R69-P69</f>
        <v>2</v>
      </c>
      <c r="R69" s="280">
        <v>-46</v>
      </c>
      <c r="T69" s="253"/>
      <c r="U69" s="179"/>
      <c r="V69" s="191"/>
      <c r="W69" s="179"/>
      <c r="X69" s="191"/>
      <c r="Y69" s="179">
        <f>+Z69-X69</f>
        <v>-167</v>
      </c>
      <c r="Z69" s="280">
        <f>-6-161</f>
        <v>-167</v>
      </c>
      <c r="AB69" s="253"/>
      <c r="AC69" s="179"/>
      <c r="AD69" s="191"/>
      <c r="AE69" s="179"/>
      <c r="AF69" s="191"/>
      <c r="AG69" s="179">
        <f>+AH69-AF69</f>
        <v>-167</v>
      </c>
      <c r="AH69" s="280">
        <f>-6-161</f>
        <v>-167</v>
      </c>
      <c r="AJ69" s="253"/>
      <c r="AK69" s="179"/>
      <c r="AL69" s="191"/>
      <c r="AM69" s="179"/>
      <c r="AN69" s="191"/>
      <c r="AO69" s="179">
        <f>+AP69-AN69</f>
        <v>-1069</v>
      </c>
      <c r="AP69" s="280">
        <f>-412-657</f>
        <v>-1069</v>
      </c>
      <c r="AR69" s="253"/>
      <c r="AS69" s="179"/>
      <c r="AT69" s="191"/>
      <c r="AU69" s="179"/>
      <c r="AV69" s="191"/>
      <c r="AW69" s="179">
        <f>+AX69-AV69</f>
        <v>-2</v>
      </c>
      <c r="AX69" s="280">
        <v>-2</v>
      </c>
      <c r="AZ69" s="253">
        <v>0</v>
      </c>
      <c r="BA69" s="179"/>
      <c r="BB69" s="191"/>
      <c r="BC69" s="179"/>
      <c r="BD69" s="192"/>
      <c r="BE69" s="179">
        <f>+BF69-BD69</f>
        <v>0</v>
      </c>
      <c r="BF69" s="280"/>
    </row>
    <row r="70" spans="1:58" s="60" customFormat="1" ht="12.75">
      <c r="A70" s="59"/>
      <c r="B70" s="152"/>
      <c r="D70" s="253"/>
      <c r="E70" s="179"/>
      <c r="F70" s="191"/>
      <c r="G70" s="179"/>
      <c r="H70" s="191"/>
      <c r="I70" s="179"/>
      <c r="J70" s="280"/>
      <c r="L70" s="253"/>
      <c r="M70" s="179"/>
      <c r="N70" s="191"/>
      <c r="O70" s="179"/>
      <c r="P70" s="191"/>
      <c r="Q70" s="179"/>
      <c r="R70" s="280"/>
      <c r="T70" s="253"/>
      <c r="U70" s="179"/>
      <c r="V70" s="191"/>
      <c r="W70" s="179"/>
      <c r="X70" s="191"/>
      <c r="Y70" s="179"/>
      <c r="Z70" s="280"/>
      <c r="AB70" s="253"/>
      <c r="AC70" s="179"/>
      <c r="AD70" s="191"/>
      <c r="AE70" s="179"/>
      <c r="AF70" s="191"/>
      <c r="AG70" s="179"/>
      <c r="AH70" s="280"/>
      <c r="AJ70" s="253"/>
      <c r="AK70" s="179"/>
      <c r="AL70" s="191"/>
      <c r="AM70" s="179"/>
      <c r="AN70" s="191"/>
      <c r="AO70" s="179"/>
      <c r="AP70" s="280"/>
      <c r="AR70" s="253"/>
      <c r="AS70" s="179"/>
      <c r="AT70" s="191"/>
      <c r="AU70" s="179"/>
      <c r="AV70" s="191"/>
      <c r="AW70" s="179"/>
      <c r="AX70" s="280"/>
      <c r="AZ70" s="253"/>
      <c r="BA70" s="179"/>
      <c r="BB70" s="191"/>
      <c r="BC70" s="179"/>
      <c r="BD70" s="192"/>
      <c r="BE70" s="179"/>
      <c r="BF70" s="280"/>
    </row>
    <row r="71" spans="1:58" ht="12.75">
      <c r="A71" s="63"/>
      <c r="B71" s="298" t="s">
        <v>367</v>
      </c>
      <c r="D71" s="163">
        <f aca="true" t="shared" si="52" ref="D71:J71">+D65+D67+D68+D69</f>
        <v>75</v>
      </c>
      <c r="E71" s="61">
        <f t="shared" si="52"/>
        <v>91</v>
      </c>
      <c r="F71" s="61">
        <f t="shared" si="52"/>
        <v>166</v>
      </c>
      <c r="G71" s="61">
        <f t="shared" si="52"/>
        <v>114</v>
      </c>
      <c r="H71" s="61">
        <f t="shared" si="52"/>
        <v>280</v>
      </c>
      <c r="I71" s="61">
        <f t="shared" si="52"/>
        <v>118</v>
      </c>
      <c r="J71" s="299">
        <f t="shared" si="52"/>
        <v>398</v>
      </c>
      <c r="L71" s="163">
        <f aca="true" t="shared" si="53" ref="L71:R71">+L65+L67+L68+L69</f>
        <v>71</v>
      </c>
      <c r="M71" s="61">
        <f t="shared" si="53"/>
        <v>86</v>
      </c>
      <c r="N71" s="61">
        <f t="shared" si="53"/>
        <v>157</v>
      </c>
      <c r="O71" s="61">
        <f t="shared" si="53"/>
        <v>106</v>
      </c>
      <c r="P71" s="61">
        <f t="shared" si="53"/>
        <v>263</v>
      </c>
      <c r="Q71" s="61">
        <f t="shared" si="53"/>
        <v>124</v>
      </c>
      <c r="R71" s="299">
        <f t="shared" si="53"/>
        <v>387</v>
      </c>
      <c r="T71" s="163">
        <f aca="true" t="shared" si="54" ref="T71:Z71">+T65+T67+T68+T69</f>
        <v>124</v>
      </c>
      <c r="U71" s="61">
        <f t="shared" si="54"/>
        <v>116</v>
      </c>
      <c r="V71" s="61">
        <f t="shared" si="54"/>
        <v>240</v>
      </c>
      <c r="W71" s="61">
        <f t="shared" si="54"/>
        <v>80</v>
      </c>
      <c r="X71" s="61">
        <f t="shared" si="54"/>
        <v>320</v>
      </c>
      <c r="Y71" s="61">
        <f t="shared" si="54"/>
        <v>-60</v>
      </c>
      <c r="Z71" s="299">
        <f t="shared" si="54"/>
        <v>260</v>
      </c>
      <c r="AB71" s="163">
        <f aca="true" t="shared" si="55" ref="AB71:AH71">+AB65+AB67+AB68+AB69</f>
        <v>124</v>
      </c>
      <c r="AC71" s="61">
        <f t="shared" si="55"/>
        <v>116</v>
      </c>
      <c r="AD71" s="61">
        <f t="shared" si="55"/>
        <v>240</v>
      </c>
      <c r="AE71" s="57">
        <f t="shared" si="55"/>
        <v>80</v>
      </c>
      <c r="AF71" s="61">
        <f t="shared" si="55"/>
        <v>320</v>
      </c>
      <c r="AG71" s="57">
        <f t="shared" si="55"/>
        <v>-60</v>
      </c>
      <c r="AH71" s="92">
        <f t="shared" si="55"/>
        <v>260</v>
      </c>
      <c r="AJ71" s="163">
        <f aca="true" t="shared" si="56" ref="AJ71:AP71">+AJ65+AJ67+AJ68+AJ69</f>
        <v>41</v>
      </c>
      <c r="AK71" s="61">
        <f t="shared" si="56"/>
        <v>53</v>
      </c>
      <c r="AL71" s="61">
        <f t="shared" si="56"/>
        <v>94</v>
      </c>
      <c r="AM71" s="57">
        <f t="shared" si="56"/>
        <v>64</v>
      </c>
      <c r="AN71" s="61">
        <f t="shared" si="56"/>
        <v>158</v>
      </c>
      <c r="AO71" s="57">
        <f t="shared" si="56"/>
        <v>-1135</v>
      </c>
      <c r="AP71" s="92">
        <f t="shared" si="56"/>
        <v>-977</v>
      </c>
      <c r="AR71" s="163">
        <f aca="true" t="shared" si="57" ref="AR71:AX71">+AR65+AR67+AR68+AR69</f>
        <v>26</v>
      </c>
      <c r="AS71" s="61">
        <f t="shared" si="57"/>
        <v>61</v>
      </c>
      <c r="AT71" s="61">
        <f t="shared" si="57"/>
        <v>87</v>
      </c>
      <c r="AU71" s="57">
        <f t="shared" si="57"/>
        <v>52</v>
      </c>
      <c r="AV71" s="61">
        <f t="shared" si="57"/>
        <v>139</v>
      </c>
      <c r="AW71" s="57">
        <f t="shared" si="57"/>
        <v>45</v>
      </c>
      <c r="AX71" s="92">
        <f t="shared" si="57"/>
        <v>184</v>
      </c>
      <c r="AZ71" s="458" t="s">
        <v>538</v>
      </c>
      <c r="BA71" s="192" t="s">
        <v>538</v>
      </c>
      <c r="BB71" s="61">
        <f>+BB65+BB67+BB68+BB69</f>
        <v>34</v>
      </c>
      <c r="BC71" s="57" t="e">
        <f>+BC65+BC67+BC68+BC69</f>
        <v>#VALUE!</v>
      </c>
      <c r="BD71" s="835" t="s">
        <v>538</v>
      </c>
      <c r="BE71" s="57" t="e">
        <f>+BE65+BE67+BE68+BE69</f>
        <v>#VALUE!</v>
      </c>
      <c r="BF71" s="92">
        <f>+BF65+BF67+BF68+BF69</f>
        <v>0</v>
      </c>
    </row>
    <row r="72" spans="2:58" s="112" customFormat="1" ht="12.75">
      <c r="B72" s="175"/>
      <c r="D72" s="269"/>
      <c r="F72" s="244"/>
      <c r="G72" s="57"/>
      <c r="H72" s="244"/>
      <c r="I72" s="57"/>
      <c r="J72" s="135"/>
      <c r="L72" s="269"/>
      <c r="N72" s="244"/>
      <c r="O72" s="57"/>
      <c r="P72" s="244"/>
      <c r="Q72" s="57"/>
      <c r="R72" s="135"/>
      <c r="T72" s="269"/>
      <c r="V72" s="244"/>
      <c r="W72" s="57"/>
      <c r="X72" s="244"/>
      <c r="Y72" s="57"/>
      <c r="Z72" s="135"/>
      <c r="AB72" s="269"/>
      <c r="AD72" s="244"/>
      <c r="AE72" s="57"/>
      <c r="AF72" s="244"/>
      <c r="AG72" s="57"/>
      <c r="AH72" s="135"/>
      <c r="AJ72" s="269"/>
      <c r="AL72" s="244"/>
      <c r="AM72" s="57"/>
      <c r="AN72" s="244"/>
      <c r="AO72" s="57"/>
      <c r="AP72" s="135"/>
      <c r="AR72" s="269"/>
      <c r="AT72" s="244"/>
      <c r="AU72" s="57"/>
      <c r="AV72" s="244"/>
      <c r="AW72" s="57"/>
      <c r="AX72" s="135"/>
      <c r="AZ72" s="269"/>
      <c r="BB72" s="244"/>
      <c r="BC72" s="57"/>
      <c r="BD72" s="836"/>
      <c r="BE72" s="57"/>
      <c r="BF72" s="135"/>
    </row>
    <row r="73" spans="1:58" s="60" customFormat="1" ht="12.75">
      <c r="A73" s="59"/>
      <c r="B73" s="152" t="s">
        <v>162</v>
      </c>
      <c r="D73" s="249">
        <v>9</v>
      </c>
      <c r="E73" s="62">
        <f>+F73-D73</f>
        <v>8</v>
      </c>
      <c r="F73" s="254">
        <v>17</v>
      </c>
      <c r="G73" s="179">
        <f>+H73-F73</f>
        <v>6</v>
      </c>
      <c r="H73" s="191">
        <f>22+1</f>
        <v>23</v>
      </c>
      <c r="I73" s="179">
        <f>+J73-H73</f>
        <v>16</v>
      </c>
      <c r="J73" s="280">
        <v>39</v>
      </c>
      <c r="L73" s="249">
        <v>5</v>
      </c>
      <c r="M73" s="62">
        <f>+N73-L73</f>
        <v>6</v>
      </c>
      <c r="N73" s="254">
        <v>11</v>
      </c>
      <c r="O73" s="179">
        <f>+P73-N73</f>
        <v>6</v>
      </c>
      <c r="P73" s="191">
        <f>16+1</f>
        <v>17</v>
      </c>
      <c r="Q73" s="179">
        <f>+R73-P73</f>
        <v>14</v>
      </c>
      <c r="R73" s="280">
        <v>31</v>
      </c>
      <c r="T73" s="249">
        <v>5</v>
      </c>
      <c r="U73" s="62">
        <f>+V73-T73</f>
        <v>11</v>
      </c>
      <c r="V73" s="254">
        <v>16</v>
      </c>
      <c r="W73" s="179">
        <f>+X73-V73</f>
        <v>16</v>
      </c>
      <c r="X73" s="191">
        <f>30+2</f>
        <v>32</v>
      </c>
      <c r="Y73" s="179">
        <f>+Z73-X73</f>
        <v>14</v>
      </c>
      <c r="Z73" s="280">
        <v>46</v>
      </c>
      <c r="AB73" s="249">
        <v>5</v>
      </c>
      <c r="AC73" s="62">
        <f>+AD73-AB73</f>
        <v>11</v>
      </c>
      <c r="AD73" s="254">
        <v>16</v>
      </c>
      <c r="AE73" s="179">
        <f>+AF73-AD73</f>
        <v>16</v>
      </c>
      <c r="AF73" s="191">
        <v>32</v>
      </c>
      <c r="AG73" s="179">
        <f>+AH73-AF73</f>
        <v>14</v>
      </c>
      <c r="AH73" s="280">
        <v>46</v>
      </c>
      <c r="AJ73" s="249">
        <v>4</v>
      </c>
      <c r="AK73" s="62">
        <f>+AL73-AJ73</f>
        <v>8</v>
      </c>
      <c r="AL73" s="254">
        <v>12</v>
      </c>
      <c r="AM73" s="179">
        <f>+AN73-AL73</f>
        <v>10</v>
      </c>
      <c r="AN73" s="191">
        <v>22</v>
      </c>
      <c r="AO73" s="179">
        <f>+AP73-AN73</f>
        <v>21</v>
      </c>
      <c r="AP73" s="280">
        <v>43</v>
      </c>
      <c r="AR73" s="249">
        <v>8</v>
      </c>
      <c r="AS73" s="62">
        <f>+AT73-AR73</f>
        <v>17</v>
      </c>
      <c r="AT73" s="254">
        <f>24+1</f>
        <v>25</v>
      </c>
      <c r="AU73" s="179">
        <f t="shared" si="51"/>
        <v>22</v>
      </c>
      <c r="AV73" s="191">
        <v>47</v>
      </c>
      <c r="AW73" s="179">
        <f>+AX73-AV73</f>
        <v>60</v>
      </c>
      <c r="AX73" s="280">
        <v>107</v>
      </c>
      <c r="AZ73" s="454" t="s">
        <v>538</v>
      </c>
      <c r="BA73" s="192" t="s">
        <v>538</v>
      </c>
      <c r="BB73" s="254">
        <v>32</v>
      </c>
      <c r="BC73" s="179" t="e">
        <f>BD73-BB73</f>
        <v>#VALUE!</v>
      </c>
      <c r="BD73" s="192" t="s">
        <v>538</v>
      </c>
      <c r="BE73" s="179" t="e">
        <f>+BF73-BD73</f>
        <v>#VALUE!</v>
      </c>
      <c r="BF73" s="280"/>
    </row>
    <row r="74" spans="1:58" ht="12.75">
      <c r="A74" s="60"/>
      <c r="B74" s="155"/>
      <c r="D74" s="249"/>
      <c r="E74" s="64"/>
      <c r="F74" s="254"/>
      <c r="G74" s="64"/>
      <c r="H74" s="254"/>
      <c r="I74" s="57"/>
      <c r="J74" s="280"/>
      <c r="L74" s="249"/>
      <c r="M74" s="64"/>
      <c r="N74" s="254"/>
      <c r="O74" s="64"/>
      <c r="P74" s="254"/>
      <c r="Q74" s="57"/>
      <c r="R74" s="280"/>
      <c r="T74" s="249"/>
      <c r="U74" s="64"/>
      <c r="V74" s="254"/>
      <c r="W74" s="64"/>
      <c r="X74" s="254"/>
      <c r="Y74" s="57"/>
      <c r="Z74" s="280"/>
      <c r="AB74" s="249"/>
      <c r="AC74" s="64"/>
      <c r="AD74" s="254"/>
      <c r="AE74" s="64"/>
      <c r="AF74" s="254"/>
      <c r="AG74" s="57"/>
      <c r="AH74" s="280"/>
      <c r="AJ74" s="249"/>
      <c r="AK74" s="64"/>
      <c r="AL74" s="254"/>
      <c r="AM74" s="64"/>
      <c r="AN74" s="254"/>
      <c r="AO74" s="57"/>
      <c r="AP74" s="280"/>
      <c r="AR74" s="249"/>
      <c r="AS74" s="64"/>
      <c r="AT74" s="254"/>
      <c r="AU74" s="64"/>
      <c r="AV74" s="254"/>
      <c r="AW74" s="57"/>
      <c r="AX74" s="280"/>
      <c r="AZ74" s="454"/>
      <c r="BA74" s="64"/>
      <c r="BB74" s="254"/>
      <c r="BC74" s="64"/>
      <c r="BD74" s="254"/>
      <c r="BE74" s="57"/>
      <c r="BF74" s="280"/>
    </row>
    <row r="75" spans="2:58" ht="12" customHeight="1">
      <c r="B75" s="341" t="s">
        <v>522</v>
      </c>
      <c r="D75" s="265">
        <v>1240</v>
      </c>
      <c r="E75" s="171"/>
      <c r="F75" s="267">
        <v>1218</v>
      </c>
      <c r="G75" s="171"/>
      <c r="H75" s="267">
        <v>1210</v>
      </c>
      <c r="I75" s="172"/>
      <c r="J75" s="319">
        <v>1189</v>
      </c>
      <c r="L75" s="265">
        <v>1138</v>
      </c>
      <c r="M75" s="171"/>
      <c r="N75" s="267">
        <v>1166</v>
      </c>
      <c r="O75" s="171"/>
      <c r="P75" s="267">
        <v>1138</v>
      </c>
      <c r="Q75" s="172"/>
      <c r="R75" s="319">
        <v>1138</v>
      </c>
      <c r="T75" s="265">
        <v>1116</v>
      </c>
      <c r="U75" s="171"/>
      <c r="V75" s="267">
        <v>1105</v>
      </c>
      <c r="W75" s="171"/>
      <c r="X75" s="267">
        <v>1102</v>
      </c>
      <c r="Y75" s="172"/>
      <c r="Z75" s="319">
        <v>1051</v>
      </c>
      <c r="AB75" s="265">
        <v>1051</v>
      </c>
      <c r="AC75" s="171"/>
      <c r="AD75" s="267">
        <v>1051</v>
      </c>
      <c r="AE75" s="171"/>
      <c r="AF75" s="267">
        <v>1051</v>
      </c>
      <c r="AG75" s="172"/>
      <c r="AH75" s="319">
        <v>1051</v>
      </c>
      <c r="AJ75" s="265">
        <v>1046</v>
      </c>
      <c r="AK75" s="171"/>
      <c r="AL75" s="267">
        <v>1037</v>
      </c>
      <c r="AM75" s="171"/>
      <c r="AN75" s="267">
        <v>1040</v>
      </c>
      <c r="AO75" s="172"/>
      <c r="AP75" s="319">
        <v>1030</v>
      </c>
      <c r="AR75" s="265">
        <v>930</v>
      </c>
      <c r="AS75" s="171"/>
      <c r="AT75" s="267">
        <v>3041</v>
      </c>
      <c r="AU75" s="171"/>
      <c r="AV75" s="267">
        <v>2908</v>
      </c>
      <c r="AW75" s="172"/>
      <c r="AX75" s="319">
        <v>2949</v>
      </c>
      <c r="AZ75" s="455" t="s">
        <v>538</v>
      </c>
      <c r="BA75" s="460" t="s">
        <v>538</v>
      </c>
      <c r="BB75" s="267">
        <v>3007</v>
      </c>
      <c r="BC75" s="171"/>
      <c r="BD75" s="460" t="s">
        <v>538</v>
      </c>
      <c r="BE75" s="172"/>
      <c r="BF75" s="319"/>
    </row>
    <row r="76" spans="4:56" ht="12.75">
      <c r="D76" s="183"/>
      <c r="E76" s="183"/>
      <c r="F76" s="183"/>
      <c r="G76" s="183"/>
      <c r="H76" s="183"/>
      <c r="I76" s="183"/>
      <c r="J76" s="183"/>
      <c r="Q76" s="59"/>
      <c r="BD76" s="183"/>
    </row>
    <row r="77" spans="4:56" s="51" customFormat="1" ht="12.75">
      <c r="D77" s="183"/>
      <c r="E77" s="183"/>
      <c r="F77" s="183"/>
      <c r="G77" s="183"/>
      <c r="H77" s="183"/>
      <c r="I77" s="183"/>
      <c r="J77" s="183"/>
      <c r="BD77" s="183"/>
    </row>
    <row r="78" spans="2:58" s="53" customFormat="1" ht="17.25" customHeight="1">
      <c r="B78" s="148" t="s">
        <v>221</v>
      </c>
      <c r="D78" s="451" t="s">
        <v>232</v>
      </c>
      <c r="E78" s="452" t="s">
        <v>233</v>
      </c>
      <c r="F78" s="452" t="s">
        <v>234</v>
      </c>
      <c r="G78" s="452" t="s">
        <v>235</v>
      </c>
      <c r="H78" s="452" t="s">
        <v>236</v>
      </c>
      <c r="I78" s="452" t="s">
        <v>237</v>
      </c>
      <c r="J78" s="453" t="s">
        <v>238</v>
      </c>
      <c r="L78" s="451" t="s">
        <v>232</v>
      </c>
      <c r="M78" s="452" t="s">
        <v>233</v>
      </c>
      <c r="N78" s="452" t="s">
        <v>234</v>
      </c>
      <c r="O78" s="452" t="s">
        <v>235</v>
      </c>
      <c r="P78" s="452" t="s">
        <v>236</v>
      </c>
      <c r="Q78" s="452" t="s">
        <v>237</v>
      </c>
      <c r="R78" s="453" t="s">
        <v>238</v>
      </c>
      <c r="T78" s="451" t="s">
        <v>247</v>
      </c>
      <c r="U78" s="452" t="s">
        <v>248</v>
      </c>
      <c r="V78" s="452" t="s">
        <v>249</v>
      </c>
      <c r="W78" s="452" t="s">
        <v>250</v>
      </c>
      <c r="X78" s="452" t="s">
        <v>251</v>
      </c>
      <c r="Y78" s="452" t="s">
        <v>252</v>
      </c>
      <c r="Z78" s="453" t="s">
        <v>253</v>
      </c>
      <c r="AB78" s="451" t="str">
        <f aca="true" t="shared" si="58" ref="AB78:AH78">+AB4</f>
        <v>IQ 2014</v>
      </c>
      <c r="AC78" s="452" t="str">
        <f t="shared" si="58"/>
        <v>IIQ 2014</v>
      </c>
      <c r="AD78" s="452" t="str">
        <f t="shared" si="58"/>
        <v>IH 2014</v>
      </c>
      <c r="AE78" s="452" t="str">
        <f t="shared" si="58"/>
        <v>III Q 2014</v>
      </c>
      <c r="AF78" s="452" t="str">
        <f t="shared" si="58"/>
        <v>9M 2014</v>
      </c>
      <c r="AG78" s="452" t="str">
        <f t="shared" si="58"/>
        <v>IV Q 2014</v>
      </c>
      <c r="AH78" s="453" t="str">
        <f t="shared" si="58"/>
        <v>FY 2014</v>
      </c>
      <c r="AJ78" s="451" t="str">
        <f aca="true" t="shared" si="59" ref="AJ78:AP78">+AJ4</f>
        <v>IQ 2015</v>
      </c>
      <c r="AK78" s="452" t="str">
        <f t="shared" si="59"/>
        <v>IIQ 2015</v>
      </c>
      <c r="AL78" s="452" t="str">
        <f t="shared" si="59"/>
        <v>IH 2015</v>
      </c>
      <c r="AM78" s="452" t="str">
        <f t="shared" si="59"/>
        <v>III Q 2015</v>
      </c>
      <c r="AN78" s="452" t="str">
        <f t="shared" si="59"/>
        <v>9M 2015</v>
      </c>
      <c r="AO78" s="452" t="str">
        <f t="shared" si="59"/>
        <v>IV Q 2015</v>
      </c>
      <c r="AP78" s="453" t="str">
        <f t="shared" si="59"/>
        <v>FY 2015</v>
      </c>
      <c r="AR78" s="451" t="s">
        <v>295</v>
      </c>
      <c r="AS78" s="452" t="s">
        <v>296</v>
      </c>
      <c r="AT78" s="452" t="s">
        <v>297</v>
      </c>
      <c r="AU78" s="452" t="s">
        <v>298</v>
      </c>
      <c r="AV78" s="452" t="s">
        <v>299</v>
      </c>
      <c r="AW78" s="452" t="s">
        <v>300</v>
      </c>
      <c r="AX78" s="453" t="s">
        <v>371</v>
      </c>
      <c r="AZ78" s="451" t="str">
        <f>+AZ60</f>
        <v>IQ 2017</v>
      </c>
      <c r="BA78" s="451" t="str">
        <f aca="true" t="shared" si="60" ref="BA78:BF78">+BA60</f>
        <v>IIQ 2017</v>
      </c>
      <c r="BB78" s="451" t="str">
        <f t="shared" si="60"/>
        <v>IH 2017 (5) </v>
      </c>
      <c r="BC78" s="451" t="str">
        <f t="shared" si="60"/>
        <v>III Q 2017</v>
      </c>
      <c r="BD78" s="451" t="str">
        <f t="shared" si="60"/>
        <v>9M 2017</v>
      </c>
      <c r="BE78" s="451" t="str">
        <f t="shared" si="60"/>
        <v>IV Q 2017</v>
      </c>
      <c r="BF78" s="451" t="str">
        <f t="shared" si="60"/>
        <v>FY 2017 (1)</v>
      </c>
    </row>
    <row r="79" spans="2:58" ht="12.75">
      <c r="B79" s="173"/>
      <c r="D79" s="97"/>
      <c r="E79" s="183"/>
      <c r="F79" s="183"/>
      <c r="G79" s="183"/>
      <c r="H79" s="183"/>
      <c r="I79" s="183"/>
      <c r="J79" s="114"/>
      <c r="L79" s="115"/>
      <c r="Q79" s="59"/>
      <c r="R79" s="104"/>
      <c r="T79" s="115"/>
      <c r="Z79" s="104"/>
      <c r="AB79" s="115"/>
      <c r="AH79" s="104"/>
      <c r="AJ79" s="115"/>
      <c r="AP79" s="104"/>
      <c r="AR79" s="206"/>
      <c r="AS79" s="207"/>
      <c r="AT79" s="207"/>
      <c r="AU79" s="207"/>
      <c r="AV79" s="207"/>
      <c r="AW79" s="207"/>
      <c r="AX79" s="208"/>
      <c r="AZ79" s="206"/>
      <c r="BA79" s="207"/>
      <c r="BB79" s="207"/>
      <c r="BC79" s="207"/>
      <c r="BD79" s="837"/>
      <c r="BE79" s="207"/>
      <c r="BF79" s="208"/>
    </row>
    <row r="80" spans="2:58" ht="12.75">
      <c r="B80" s="151" t="s">
        <v>163</v>
      </c>
      <c r="D80" s="301">
        <f>D7</f>
        <v>1846</v>
      </c>
      <c r="E80" s="288">
        <f>+F80-D80</f>
        <v>1201</v>
      </c>
      <c r="F80" s="288">
        <f>F7</f>
        <v>3047</v>
      </c>
      <c r="G80" s="288">
        <f>+H80-F80</f>
        <v>1299</v>
      </c>
      <c r="H80" s="288">
        <f>H7</f>
        <v>4346</v>
      </c>
      <c r="I80" s="288">
        <f>+J80-H80</f>
        <v>1526</v>
      </c>
      <c r="J80" s="282">
        <f>J7</f>
        <v>5872</v>
      </c>
      <c r="L80" s="301">
        <f>L7</f>
        <v>1845</v>
      </c>
      <c r="M80" s="288">
        <f>+N80-L80</f>
        <v>1202</v>
      </c>
      <c r="N80" s="288">
        <f>N7</f>
        <v>3047</v>
      </c>
      <c r="O80" s="288">
        <f>+P80-N80</f>
        <v>1299</v>
      </c>
      <c r="P80" s="288">
        <f>P7</f>
        <v>4346</v>
      </c>
      <c r="Q80" s="288">
        <f>+R80-P80</f>
        <v>1652</v>
      </c>
      <c r="R80" s="282">
        <f>R7</f>
        <v>5998</v>
      </c>
      <c r="T80" s="301">
        <f>T7</f>
        <v>1495</v>
      </c>
      <c r="U80" s="288">
        <f>+V80-T80</f>
        <v>929</v>
      </c>
      <c r="V80" s="288">
        <f>V7</f>
        <v>2424</v>
      </c>
      <c r="W80" s="288">
        <f>+X80-V80</f>
        <v>981</v>
      </c>
      <c r="X80" s="288">
        <f>X7</f>
        <v>3405</v>
      </c>
      <c r="Y80" s="288">
        <f>+Z80-X80</f>
        <v>1763</v>
      </c>
      <c r="Z80" s="282">
        <f>Z7</f>
        <v>5168</v>
      </c>
      <c r="AB80" s="301">
        <f>AB7</f>
        <v>1566</v>
      </c>
      <c r="AC80" s="288">
        <f>+AD80-AB80</f>
        <v>1019</v>
      </c>
      <c r="AD80" s="288">
        <f>AD7</f>
        <v>2585</v>
      </c>
      <c r="AE80" s="288">
        <f>+AF80-AD80</f>
        <v>1075</v>
      </c>
      <c r="AF80" s="288">
        <f>AF7</f>
        <v>3660</v>
      </c>
      <c r="AG80" s="288">
        <f>+AH80-AF80</f>
        <v>1508</v>
      </c>
      <c r="AH80" s="282">
        <f>AH7</f>
        <v>5168</v>
      </c>
      <c r="AJ80" s="301">
        <f>AJ7</f>
        <v>1676</v>
      </c>
      <c r="AK80" s="288">
        <f>+AL80-AJ80</f>
        <v>1041</v>
      </c>
      <c r="AL80" s="288">
        <f>AL7</f>
        <v>2717</v>
      </c>
      <c r="AM80" s="288">
        <f>+AN80-AL80</f>
        <v>1156</v>
      </c>
      <c r="AN80" s="288">
        <f>AN7</f>
        <v>3873</v>
      </c>
      <c r="AO80" s="288">
        <f>+AP80-AN80</f>
        <v>1639</v>
      </c>
      <c r="AP80" s="282">
        <f>AP7</f>
        <v>5512</v>
      </c>
      <c r="AR80" s="301">
        <f>AR7</f>
        <v>1836</v>
      </c>
      <c r="AS80" s="288">
        <f>+AT80-AR80</f>
        <v>1275</v>
      </c>
      <c r="AT80" s="288">
        <f>+AT7</f>
        <v>3111</v>
      </c>
      <c r="AU80" s="288">
        <f>AV80-AT80</f>
        <v>1251</v>
      </c>
      <c r="AV80" s="288">
        <f>+AV7</f>
        <v>4362</v>
      </c>
      <c r="AW80" s="288">
        <f>+AX80-AV80</f>
        <v>1669</v>
      </c>
      <c r="AX80" s="282">
        <f>+AX7</f>
        <v>6031</v>
      </c>
      <c r="AZ80" s="301">
        <f>+AZ7</f>
        <v>1636</v>
      </c>
      <c r="BA80" s="288">
        <f>+BB80-AZ80</f>
        <v>1185</v>
      </c>
      <c r="BB80" s="288">
        <f>+BB7</f>
        <v>2821</v>
      </c>
      <c r="BC80" s="288">
        <f>BD80-BB80</f>
        <v>1114</v>
      </c>
      <c r="BD80" s="288">
        <f>+BD7</f>
        <v>3935</v>
      </c>
      <c r="BE80" s="288">
        <f>+BF80-BD80</f>
        <v>-3935</v>
      </c>
      <c r="BF80" s="282">
        <f>+BF7</f>
        <v>0</v>
      </c>
    </row>
    <row r="81" spans="2:58" ht="12.75">
      <c r="B81" s="151"/>
      <c r="D81" s="268"/>
      <c r="E81" s="57"/>
      <c r="F81" s="260"/>
      <c r="G81" s="57"/>
      <c r="H81" s="260"/>
      <c r="I81" s="57"/>
      <c r="J81" s="92"/>
      <c r="L81" s="268"/>
      <c r="M81" s="57"/>
      <c r="N81" s="260"/>
      <c r="O81" s="57"/>
      <c r="P81" s="260"/>
      <c r="Q81" s="57"/>
      <c r="R81" s="92"/>
      <c r="T81" s="268"/>
      <c r="U81" s="57"/>
      <c r="V81" s="260"/>
      <c r="W81" s="57"/>
      <c r="X81" s="260"/>
      <c r="Y81" s="57"/>
      <c r="Z81" s="92"/>
      <c r="AB81" s="268"/>
      <c r="AC81" s="57"/>
      <c r="AD81" s="260"/>
      <c r="AE81" s="57"/>
      <c r="AF81" s="260"/>
      <c r="AG81" s="57"/>
      <c r="AH81" s="92"/>
      <c r="AJ81" s="268"/>
      <c r="AK81" s="57"/>
      <c r="AL81" s="260"/>
      <c r="AM81" s="57"/>
      <c r="AN81" s="260"/>
      <c r="AO81" s="57"/>
      <c r="AP81" s="92"/>
      <c r="AR81" s="268"/>
      <c r="AS81" s="57"/>
      <c r="AT81" s="260"/>
      <c r="AU81" s="57"/>
      <c r="AV81" s="260"/>
      <c r="AW81" s="57"/>
      <c r="AX81" s="92"/>
      <c r="AZ81" s="268"/>
      <c r="BA81" s="57"/>
      <c r="BB81" s="260"/>
      <c r="BC81" s="57"/>
      <c r="BD81" s="260"/>
      <c r="BE81" s="57"/>
      <c r="BF81" s="92"/>
    </row>
    <row r="82" spans="1:58" ht="13.5" customHeight="1">
      <c r="A82" s="60"/>
      <c r="B82" s="347" t="s">
        <v>373</v>
      </c>
      <c r="D82" s="187">
        <f>+D18</f>
        <v>-132</v>
      </c>
      <c r="E82" s="25">
        <f aca="true" t="shared" si="61" ref="E82:E89">+F82-D82</f>
        <v>481</v>
      </c>
      <c r="F82" s="25">
        <f>+F18</f>
        <v>349</v>
      </c>
      <c r="G82" s="25">
        <f aca="true" t="shared" si="62" ref="G82:G89">+H82-F82</f>
        <v>22</v>
      </c>
      <c r="H82" s="25">
        <f>+H18</f>
        <v>371</v>
      </c>
      <c r="I82" s="25">
        <f aca="true" t="shared" si="63" ref="I82:I90">+J82-H82</f>
        <v>43</v>
      </c>
      <c r="J82" s="323">
        <f>+J18</f>
        <v>414</v>
      </c>
      <c r="L82" s="187">
        <f>L18</f>
        <v>-132</v>
      </c>
      <c r="M82" s="25">
        <f>+N82-L82</f>
        <v>482</v>
      </c>
      <c r="N82" s="25">
        <f>N18</f>
        <v>350</v>
      </c>
      <c r="O82" s="25">
        <f>+P82-N82</f>
        <v>23</v>
      </c>
      <c r="P82" s="25">
        <f>P18</f>
        <v>373</v>
      </c>
      <c r="Q82" s="25">
        <f>+R82-P82</f>
        <v>42</v>
      </c>
      <c r="R82" s="323">
        <f>R18</f>
        <v>415</v>
      </c>
      <c r="T82" s="187">
        <f>T18</f>
        <v>49</v>
      </c>
      <c r="U82" s="25">
        <f>+V82-T82</f>
        <v>69</v>
      </c>
      <c r="V82" s="25">
        <f>V18</f>
        <v>118</v>
      </c>
      <c r="W82" s="25">
        <f>+X82-V82</f>
        <v>115</v>
      </c>
      <c r="X82" s="25">
        <f>X18</f>
        <v>233</v>
      </c>
      <c r="Y82" s="25">
        <f>+Z82-X82</f>
        <v>22</v>
      </c>
      <c r="Z82" s="323">
        <f>Z18</f>
        <v>255</v>
      </c>
      <c r="AB82" s="342">
        <f>AB18</f>
        <v>49</v>
      </c>
      <c r="AC82" s="25">
        <f aca="true" t="shared" si="64" ref="AC82:AC89">+AD82-AB82</f>
        <v>69</v>
      </c>
      <c r="AD82" s="291">
        <f>AD18</f>
        <v>118</v>
      </c>
      <c r="AE82" s="25">
        <f aca="true" t="shared" si="65" ref="AE82:AE89">+AF82-AD82</f>
        <v>115</v>
      </c>
      <c r="AF82" s="291">
        <f>AF18</f>
        <v>233</v>
      </c>
      <c r="AG82" s="25">
        <f aca="true" t="shared" si="66" ref="AG82:AG89">+AH82-AF82</f>
        <v>22</v>
      </c>
      <c r="AH82" s="282">
        <f>AH18</f>
        <v>255</v>
      </c>
      <c r="AJ82" s="342">
        <f>AJ18</f>
        <v>-37</v>
      </c>
      <c r="AK82" s="25">
        <f aca="true" t="shared" si="67" ref="AK82:AK89">+AL82-AJ82</f>
        <v>79</v>
      </c>
      <c r="AL82" s="291">
        <f>AL18</f>
        <v>42</v>
      </c>
      <c r="AM82" s="25">
        <f aca="true" t="shared" si="68" ref="AM82:AM89">+AN82-AL82</f>
        <v>12</v>
      </c>
      <c r="AN82" s="291">
        <f>AN18</f>
        <v>54</v>
      </c>
      <c r="AO82" s="25">
        <f aca="true" t="shared" si="69" ref="AO82:AO89">+AP82-AN82</f>
        <v>1025</v>
      </c>
      <c r="AP82" s="282">
        <f>AP18</f>
        <v>1079</v>
      </c>
      <c r="AR82" s="342">
        <f>AR18</f>
        <v>147</v>
      </c>
      <c r="AS82" s="25">
        <f aca="true" t="shared" si="70" ref="AS82:AS89">+AT82-AR82</f>
        <v>113</v>
      </c>
      <c r="AT82" s="291">
        <f>+AT18</f>
        <v>260</v>
      </c>
      <c r="AU82" s="25">
        <f>AV82-AT82</f>
        <v>107</v>
      </c>
      <c r="AV82" s="291">
        <f>+AV18</f>
        <v>367</v>
      </c>
      <c r="AW82" s="25">
        <f>+AX82-AV82</f>
        <v>138</v>
      </c>
      <c r="AX82" s="282">
        <f>+AX18</f>
        <v>505</v>
      </c>
      <c r="AZ82" s="342">
        <f>+AZ18</f>
        <v>181</v>
      </c>
      <c r="BA82" s="25">
        <f>+BB82-AZ82</f>
        <v>166</v>
      </c>
      <c r="BB82" s="291">
        <f>+BB18</f>
        <v>347</v>
      </c>
      <c r="BC82" s="25">
        <f>BD82-BB82</f>
        <v>133</v>
      </c>
      <c r="BD82" s="291">
        <f>+BD18</f>
        <v>480</v>
      </c>
      <c r="BE82" s="25">
        <f>+BF82-BD82</f>
        <v>-480</v>
      </c>
      <c r="BF82" s="282">
        <f>+BF18</f>
        <v>0</v>
      </c>
    </row>
    <row r="83" spans="1:58" ht="13.5" customHeight="1">
      <c r="A83" s="60"/>
      <c r="B83" s="178" t="s">
        <v>520</v>
      </c>
      <c r="D83" s="180"/>
      <c r="E83" s="179"/>
      <c r="F83" s="179"/>
      <c r="G83" s="179"/>
      <c r="H83" s="179"/>
      <c r="I83" s="179"/>
      <c r="J83" s="302"/>
      <c r="L83" s="180"/>
      <c r="M83" s="179"/>
      <c r="N83" s="179"/>
      <c r="O83" s="179"/>
      <c r="P83" s="179"/>
      <c r="Q83" s="179"/>
      <c r="R83" s="302"/>
      <c r="T83" s="180"/>
      <c r="U83" s="179"/>
      <c r="V83" s="179"/>
      <c r="W83" s="179"/>
      <c r="X83" s="179"/>
      <c r="Y83" s="179"/>
      <c r="Z83" s="302"/>
      <c r="AB83" s="303"/>
      <c r="AC83" s="179"/>
      <c r="AD83" s="20"/>
      <c r="AE83" s="179"/>
      <c r="AF83" s="20"/>
      <c r="AG83" s="179"/>
      <c r="AH83" s="84"/>
      <c r="AJ83" s="303"/>
      <c r="AK83" s="179"/>
      <c r="AL83" s="20"/>
      <c r="AM83" s="179"/>
      <c r="AN83" s="20"/>
      <c r="AO83" s="179"/>
      <c r="AP83" s="84"/>
      <c r="AR83" s="303"/>
      <c r="AS83" s="179"/>
      <c r="AT83" s="20"/>
      <c r="AU83" s="179"/>
      <c r="AV83" s="20"/>
      <c r="AW83" s="179"/>
      <c r="AX83" s="84"/>
      <c r="AZ83" s="303"/>
      <c r="BA83" s="179"/>
      <c r="BB83" s="20"/>
      <c r="BC83" s="179"/>
      <c r="BD83" s="20"/>
      <c r="BE83" s="179"/>
      <c r="BF83" s="84"/>
    </row>
    <row r="84" spans="1:58" ht="13.5" customHeight="1">
      <c r="A84" s="60"/>
      <c r="B84" s="178" t="s">
        <v>506</v>
      </c>
      <c r="D84" s="180">
        <f>+D20</f>
        <v>106</v>
      </c>
      <c r="E84" s="179">
        <f t="shared" si="61"/>
        <v>108</v>
      </c>
      <c r="F84" s="179">
        <f>+F20</f>
        <v>214</v>
      </c>
      <c r="G84" s="179">
        <f t="shared" si="62"/>
        <v>119</v>
      </c>
      <c r="H84" s="179">
        <f>+H20</f>
        <v>333</v>
      </c>
      <c r="I84" s="179">
        <f t="shared" si="63"/>
        <v>111</v>
      </c>
      <c r="J84" s="302">
        <f>+J20</f>
        <v>444</v>
      </c>
      <c r="L84" s="180">
        <f aca="true" t="shared" si="71" ref="L84:R85">+L20</f>
        <v>106</v>
      </c>
      <c r="M84" s="179">
        <f t="shared" si="71"/>
        <v>108</v>
      </c>
      <c r="N84" s="179">
        <f t="shared" si="71"/>
        <v>214</v>
      </c>
      <c r="O84" s="179">
        <f t="shared" si="71"/>
        <v>119</v>
      </c>
      <c r="P84" s="179">
        <f t="shared" si="71"/>
        <v>333</v>
      </c>
      <c r="Q84" s="179">
        <f t="shared" si="71"/>
        <v>111</v>
      </c>
      <c r="R84" s="302">
        <f t="shared" si="71"/>
        <v>444</v>
      </c>
      <c r="T84" s="180">
        <f aca="true" t="shared" si="72" ref="T84:Z85">+T20</f>
        <v>103</v>
      </c>
      <c r="U84" s="179">
        <f t="shared" si="72"/>
        <v>113</v>
      </c>
      <c r="V84" s="179">
        <f t="shared" si="72"/>
        <v>216</v>
      </c>
      <c r="W84" s="179">
        <f t="shared" si="72"/>
        <v>102</v>
      </c>
      <c r="X84" s="179">
        <f t="shared" si="72"/>
        <v>318</v>
      </c>
      <c r="Y84" s="179">
        <f t="shared" si="72"/>
        <v>109</v>
      </c>
      <c r="Z84" s="302">
        <f t="shared" si="72"/>
        <v>427</v>
      </c>
      <c r="AB84" s="303">
        <f>AB20</f>
        <v>103</v>
      </c>
      <c r="AC84" s="179">
        <f t="shared" si="64"/>
        <v>113</v>
      </c>
      <c r="AD84" s="20">
        <f>AD20</f>
        <v>216</v>
      </c>
      <c r="AE84" s="179">
        <f t="shared" si="65"/>
        <v>102</v>
      </c>
      <c r="AF84" s="20">
        <f>AF20</f>
        <v>318</v>
      </c>
      <c r="AG84" s="179">
        <f t="shared" si="66"/>
        <v>109</v>
      </c>
      <c r="AH84" s="84">
        <f>AH20</f>
        <v>427</v>
      </c>
      <c r="AJ84" s="303">
        <f>AJ20</f>
        <v>65</v>
      </c>
      <c r="AK84" s="179">
        <f t="shared" si="67"/>
        <v>80</v>
      </c>
      <c r="AL84" s="20">
        <f>AL20</f>
        <v>145</v>
      </c>
      <c r="AM84" s="179">
        <f t="shared" si="68"/>
        <v>47</v>
      </c>
      <c r="AN84" s="20">
        <f>AN20</f>
        <v>192</v>
      </c>
      <c r="AO84" s="179">
        <f t="shared" si="69"/>
        <v>51</v>
      </c>
      <c r="AP84" s="84">
        <f>AP20</f>
        <v>243</v>
      </c>
      <c r="AR84" s="303">
        <f>AR20</f>
        <v>37</v>
      </c>
      <c r="AS84" s="179">
        <f t="shared" si="70"/>
        <v>46</v>
      </c>
      <c r="AT84" s="20">
        <f>+AT20</f>
        <v>83</v>
      </c>
      <c r="AU84" s="179">
        <f>AV84-AT84</f>
        <v>69</v>
      </c>
      <c r="AV84" s="20">
        <f>+AV20</f>
        <v>152</v>
      </c>
      <c r="AW84" s="179">
        <f>+AX84-AV84</f>
        <v>30</v>
      </c>
      <c r="AX84" s="84">
        <f>+AX20</f>
        <v>182</v>
      </c>
      <c r="AZ84" s="303">
        <f>+AZ20</f>
        <v>60</v>
      </c>
      <c r="BA84" s="179">
        <f>+BB84-AZ84</f>
        <v>83</v>
      </c>
      <c r="BB84" s="20">
        <f>+BB20</f>
        <v>143</v>
      </c>
      <c r="BC84" s="179">
        <f>BD84-BB84</f>
        <v>60</v>
      </c>
      <c r="BD84" s="20">
        <f>+BD20</f>
        <v>203</v>
      </c>
      <c r="BE84" s="179">
        <f>+BF84-BD84</f>
        <v>-203</v>
      </c>
      <c r="BF84" s="84">
        <f>+BF20</f>
        <v>0</v>
      </c>
    </row>
    <row r="85" spans="1:58" ht="13.5" customHeight="1">
      <c r="A85" s="60"/>
      <c r="B85" s="178" t="s">
        <v>366</v>
      </c>
      <c r="D85" s="180">
        <f>+D21</f>
        <v>-238</v>
      </c>
      <c r="E85" s="179">
        <f t="shared" si="61"/>
        <v>373</v>
      </c>
      <c r="F85" s="179">
        <f>+F21</f>
        <v>135</v>
      </c>
      <c r="G85" s="179">
        <f t="shared" si="62"/>
        <v>-97</v>
      </c>
      <c r="H85" s="179">
        <f>+H21</f>
        <v>38</v>
      </c>
      <c r="I85" s="179">
        <f t="shared" si="63"/>
        <v>-68</v>
      </c>
      <c r="J85" s="302">
        <f>+J21</f>
        <v>-30</v>
      </c>
      <c r="L85" s="180">
        <f t="shared" si="71"/>
        <v>-238</v>
      </c>
      <c r="M85" s="179">
        <f t="shared" si="71"/>
        <v>374</v>
      </c>
      <c r="N85" s="179">
        <f t="shared" si="71"/>
        <v>136</v>
      </c>
      <c r="O85" s="179">
        <f t="shared" si="71"/>
        <v>-96</v>
      </c>
      <c r="P85" s="179">
        <f t="shared" si="71"/>
        <v>40</v>
      </c>
      <c r="Q85" s="179">
        <f t="shared" si="71"/>
        <v>-69</v>
      </c>
      <c r="R85" s="302">
        <f t="shared" si="71"/>
        <v>-29</v>
      </c>
      <c r="T85" s="180">
        <f t="shared" si="72"/>
        <v>-54</v>
      </c>
      <c r="U85" s="179">
        <f t="shared" si="72"/>
        <v>-44</v>
      </c>
      <c r="V85" s="179">
        <f t="shared" si="72"/>
        <v>-98</v>
      </c>
      <c r="W85" s="179">
        <f t="shared" si="72"/>
        <v>13</v>
      </c>
      <c r="X85" s="179">
        <f t="shared" si="72"/>
        <v>-85</v>
      </c>
      <c r="Y85" s="179">
        <f t="shared" si="72"/>
        <v>-87</v>
      </c>
      <c r="Z85" s="302">
        <f t="shared" si="72"/>
        <v>-172</v>
      </c>
      <c r="AB85" s="303">
        <f>AB21</f>
        <v>-54</v>
      </c>
      <c r="AC85" s="179">
        <f t="shared" si="64"/>
        <v>-44</v>
      </c>
      <c r="AD85" s="20">
        <f>AD21</f>
        <v>-98</v>
      </c>
      <c r="AE85" s="179">
        <f t="shared" si="65"/>
        <v>13</v>
      </c>
      <c r="AF85" s="20">
        <f>AF21</f>
        <v>-85</v>
      </c>
      <c r="AG85" s="179">
        <f t="shared" si="66"/>
        <v>-87</v>
      </c>
      <c r="AH85" s="84">
        <f>AH21</f>
        <v>-172</v>
      </c>
      <c r="AJ85" s="303">
        <f>AJ21</f>
        <v>-102</v>
      </c>
      <c r="AK85" s="179">
        <f t="shared" si="67"/>
        <v>-1</v>
      </c>
      <c r="AL85" s="20">
        <f>AL21</f>
        <v>-103</v>
      </c>
      <c r="AM85" s="179">
        <f t="shared" si="68"/>
        <v>-35</v>
      </c>
      <c r="AN85" s="20">
        <f>AN21</f>
        <v>-138</v>
      </c>
      <c r="AO85" s="179">
        <f t="shared" si="69"/>
        <v>974</v>
      </c>
      <c r="AP85" s="84">
        <f>AP21</f>
        <v>836</v>
      </c>
      <c r="AR85" s="303">
        <f>AR21</f>
        <v>110</v>
      </c>
      <c r="AS85" s="179">
        <f t="shared" si="70"/>
        <v>67</v>
      </c>
      <c r="AT85" s="20">
        <f>+AT21</f>
        <v>177</v>
      </c>
      <c r="AU85" s="179">
        <f>AV85-AT85</f>
        <v>38</v>
      </c>
      <c r="AV85" s="20">
        <f>+AV21</f>
        <v>215</v>
      </c>
      <c r="AW85" s="179">
        <f>+AX85-AV85</f>
        <v>108</v>
      </c>
      <c r="AX85" s="84">
        <f>+AX21</f>
        <v>323</v>
      </c>
      <c r="AZ85" s="303">
        <f>+AZ21</f>
        <v>121</v>
      </c>
      <c r="BA85" s="179">
        <f>+BB85-AZ85</f>
        <v>83</v>
      </c>
      <c r="BB85" s="20">
        <f>+BB21</f>
        <v>204</v>
      </c>
      <c r="BC85" s="179">
        <f>BD85-BB85</f>
        <v>73</v>
      </c>
      <c r="BD85" s="20">
        <f>+BD21</f>
        <v>277</v>
      </c>
      <c r="BE85" s="179">
        <f>+BF85-BD85</f>
        <v>-277</v>
      </c>
      <c r="BF85" s="84">
        <f>+BF21</f>
        <v>0</v>
      </c>
    </row>
    <row r="86" spans="1:58" ht="13.5" customHeight="1">
      <c r="A86" s="60"/>
      <c r="B86" s="154" t="s">
        <v>1</v>
      </c>
      <c r="D86" s="261">
        <v>-127</v>
      </c>
      <c r="E86" s="57">
        <f>+F86-D86</f>
        <v>487</v>
      </c>
      <c r="F86" s="258">
        <v>360</v>
      </c>
      <c r="G86" s="57">
        <f>+H86-F86</f>
        <v>27</v>
      </c>
      <c r="H86" s="258">
        <v>387</v>
      </c>
      <c r="I86" s="57">
        <f>+J86-H86</f>
        <v>37</v>
      </c>
      <c r="J86" s="300">
        <v>424</v>
      </c>
      <c r="L86" s="261">
        <v>-127</v>
      </c>
      <c r="M86" s="57">
        <f>+N86-L86</f>
        <v>488</v>
      </c>
      <c r="N86" s="258">
        <v>361</v>
      </c>
      <c r="O86" s="57">
        <f>+P86-N86</f>
        <v>27</v>
      </c>
      <c r="P86" s="258">
        <v>388</v>
      </c>
      <c r="Q86" s="57">
        <f>+R86-P86</f>
        <v>37</v>
      </c>
      <c r="R86" s="300">
        <v>425</v>
      </c>
      <c r="T86" s="261">
        <v>52</v>
      </c>
      <c r="U86" s="57">
        <f>+V86-T86</f>
        <v>74</v>
      </c>
      <c r="V86" s="258">
        <v>126</v>
      </c>
      <c r="W86" s="57">
        <f>+X86-V86</f>
        <v>125</v>
      </c>
      <c r="X86" s="258">
        <v>251</v>
      </c>
      <c r="Y86" s="57">
        <f>+Z86-X86</f>
        <v>42</v>
      </c>
      <c r="Z86" s="300">
        <v>293</v>
      </c>
      <c r="AB86" s="306">
        <v>52</v>
      </c>
      <c r="AC86" s="305">
        <f>+AD86-AB86</f>
        <v>74</v>
      </c>
      <c r="AD86" s="258">
        <v>126</v>
      </c>
      <c r="AE86" s="305">
        <f>+AF86-AD86</f>
        <v>125</v>
      </c>
      <c r="AF86" s="258">
        <v>251</v>
      </c>
      <c r="AG86" s="305">
        <f>+AH86-AF86</f>
        <v>42</v>
      </c>
      <c r="AH86" s="300">
        <v>293</v>
      </c>
      <c r="AJ86" s="306">
        <v>-23</v>
      </c>
      <c r="AK86" s="24">
        <f>+AL86-AJ86</f>
        <v>70</v>
      </c>
      <c r="AL86" s="258">
        <v>47</v>
      </c>
      <c r="AM86" s="24">
        <f>+AN86-AL86</f>
        <v>-31</v>
      </c>
      <c r="AN86" s="258">
        <v>16</v>
      </c>
      <c r="AO86" s="24">
        <f>+AP86-AN86</f>
        <v>979</v>
      </c>
      <c r="AP86" s="300">
        <v>995</v>
      </c>
      <c r="AR86" s="306">
        <v>119</v>
      </c>
      <c r="AS86" s="24">
        <f>+AT86-AR86</f>
        <v>74</v>
      </c>
      <c r="AT86" s="258">
        <v>193</v>
      </c>
      <c r="AU86" s="24">
        <f>AV86-AT86</f>
        <v>67</v>
      </c>
      <c r="AV86" s="258">
        <v>260</v>
      </c>
      <c r="AW86" s="24">
        <f>+AX86-AV86</f>
        <v>101</v>
      </c>
      <c r="AX86" s="300">
        <v>361</v>
      </c>
      <c r="AZ86" s="306">
        <v>175</v>
      </c>
      <c r="BA86" s="24">
        <f>+BB86-AZ86</f>
        <v>161</v>
      </c>
      <c r="BB86" s="258">
        <v>336</v>
      </c>
      <c r="BC86" s="24">
        <f>BD86-BB86</f>
        <v>126</v>
      </c>
      <c r="BD86" s="258">
        <v>462</v>
      </c>
      <c r="BE86" s="24">
        <f>+BF86-BD86</f>
        <v>-462</v>
      </c>
      <c r="BF86" s="300"/>
    </row>
    <row r="87" spans="1:58" ht="13.5" customHeight="1">
      <c r="A87" s="60"/>
      <c r="B87" s="154"/>
      <c r="D87" s="261"/>
      <c r="E87" s="57"/>
      <c r="F87" s="258"/>
      <c r="G87" s="57"/>
      <c r="H87" s="258"/>
      <c r="I87" s="57"/>
      <c r="J87" s="300"/>
      <c r="L87" s="261"/>
      <c r="M87" s="57"/>
      <c r="N87" s="258"/>
      <c r="O87" s="57"/>
      <c r="P87" s="258"/>
      <c r="Q87" s="57"/>
      <c r="R87" s="300"/>
      <c r="T87" s="261"/>
      <c r="U87" s="57"/>
      <c r="V87" s="258"/>
      <c r="W87" s="57"/>
      <c r="X87" s="258"/>
      <c r="Y87" s="57"/>
      <c r="Z87" s="300"/>
      <c r="AB87" s="306"/>
      <c r="AC87" s="305"/>
      <c r="AD87" s="258"/>
      <c r="AE87" s="305"/>
      <c r="AF87" s="258"/>
      <c r="AG87" s="305"/>
      <c r="AH87" s="300"/>
      <c r="AJ87" s="306"/>
      <c r="AK87" s="24"/>
      <c r="AL87" s="258"/>
      <c r="AM87" s="24"/>
      <c r="AN87" s="258"/>
      <c r="AO87" s="24"/>
      <c r="AP87" s="300"/>
      <c r="AR87" s="306"/>
      <c r="AS87" s="24"/>
      <c r="AT87" s="258"/>
      <c r="AU87" s="24"/>
      <c r="AV87" s="258"/>
      <c r="AW87" s="24"/>
      <c r="AX87" s="300"/>
      <c r="AZ87" s="306"/>
      <c r="BA87" s="24"/>
      <c r="BB87" s="258"/>
      <c r="BC87" s="24"/>
      <c r="BD87" s="258"/>
      <c r="BE87" s="24"/>
      <c r="BF87" s="300"/>
    </row>
    <row r="88" spans="1:58" s="60" customFormat="1" ht="12.75">
      <c r="A88" s="59"/>
      <c r="B88" s="152" t="s">
        <v>291</v>
      </c>
      <c r="D88" s="253">
        <v>-7</v>
      </c>
      <c r="E88" s="62">
        <f t="shared" si="61"/>
        <v>3</v>
      </c>
      <c r="F88" s="247">
        <v>-4</v>
      </c>
      <c r="G88" s="62">
        <f t="shared" si="62"/>
        <v>-2</v>
      </c>
      <c r="H88" s="247">
        <v>-6</v>
      </c>
      <c r="I88" s="62">
        <f t="shared" si="63"/>
        <v>-11</v>
      </c>
      <c r="J88" s="272">
        <v>-17</v>
      </c>
      <c r="L88" s="253">
        <v>-7</v>
      </c>
      <c r="M88" s="62">
        <f>+N88-L88</f>
        <v>3</v>
      </c>
      <c r="N88" s="247">
        <v>-4</v>
      </c>
      <c r="O88" s="62">
        <f>+P88-N88</f>
        <v>-2</v>
      </c>
      <c r="P88" s="247">
        <v>-6</v>
      </c>
      <c r="Q88" s="62">
        <f>+R88-P88</f>
        <v>-25</v>
      </c>
      <c r="R88" s="272">
        <v>-31</v>
      </c>
      <c r="T88" s="253">
        <v>136</v>
      </c>
      <c r="U88" s="62">
        <f>+V88-T88</f>
        <v>20</v>
      </c>
      <c r="V88" s="247">
        <v>156</v>
      </c>
      <c r="W88" s="62">
        <f>+X88-V88</f>
        <v>-39</v>
      </c>
      <c r="X88" s="247">
        <v>117</v>
      </c>
      <c r="Y88" s="62">
        <f>+Z88-X88</f>
        <v>127</v>
      </c>
      <c r="Z88" s="272">
        <v>244</v>
      </c>
      <c r="AB88" s="253">
        <v>136</v>
      </c>
      <c r="AC88" s="62">
        <f t="shared" si="64"/>
        <v>20</v>
      </c>
      <c r="AD88" s="247">
        <v>156</v>
      </c>
      <c r="AE88" s="62">
        <f t="shared" si="65"/>
        <v>-39</v>
      </c>
      <c r="AF88" s="247">
        <v>117</v>
      </c>
      <c r="AG88" s="62">
        <f t="shared" si="66"/>
        <v>127</v>
      </c>
      <c r="AH88" s="272">
        <v>244</v>
      </c>
      <c r="AJ88" s="253">
        <v>-17</v>
      </c>
      <c r="AK88" s="62">
        <f t="shared" si="67"/>
        <v>-37</v>
      </c>
      <c r="AL88" s="247">
        <v>-54</v>
      </c>
      <c r="AM88" s="179">
        <f t="shared" si="68"/>
        <v>90</v>
      </c>
      <c r="AN88" s="247">
        <v>36</v>
      </c>
      <c r="AO88" s="179">
        <f t="shared" si="69"/>
        <v>141</v>
      </c>
      <c r="AP88" s="272">
        <v>177</v>
      </c>
      <c r="AR88" s="253">
        <v>-90</v>
      </c>
      <c r="AS88" s="62">
        <f t="shared" si="70"/>
        <v>13</v>
      </c>
      <c r="AT88" s="247">
        <v>-77</v>
      </c>
      <c r="AU88" s="179">
        <f aca="true" t="shared" si="73" ref="AU88:AU94">AV88-AT88</f>
        <v>-61</v>
      </c>
      <c r="AV88" s="247">
        <v>-138</v>
      </c>
      <c r="AW88" s="179">
        <f aca="true" t="shared" si="74" ref="AW88:AW94">+AX88-AV88</f>
        <v>-39</v>
      </c>
      <c r="AX88" s="272">
        <v>-177</v>
      </c>
      <c r="AZ88" s="405" t="s">
        <v>538</v>
      </c>
      <c r="BA88" s="192" t="s">
        <v>538</v>
      </c>
      <c r="BB88" s="247">
        <v>-166</v>
      </c>
      <c r="BC88" s="179" t="e">
        <f>BD88-BB88</f>
        <v>#VALUE!</v>
      </c>
      <c r="BD88" s="838" t="s">
        <v>538</v>
      </c>
      <c r="BE88" s="179" t="e">
        <f>+BF88-BD88</f>
        <v>#VALUE!</v>
      </c>
      <c r="BF88" s="272"/>
    </row>
    <row r="89" spans="1:58" s="60" customFormat="1" ht="12.75">
      <c r="A89" s="59"/>
      <c r="B89" s="189" t="s">
        <v>384</v>
      </c>
      <c r="D89" s="253">
        <v>-56</v>
      </c>
      <c r="E89" s="62">
        <f t="shared" si="61"/>
        <v>-59</v>
      </c>
      <c r="F89" s="247">
        <v>-115</v>
      </c>
      <c r="G89" s="62">
        <f t="shared" si="62"/>
        <v>-59</v>
      </c>
      <c r="H89" s="247">
        <v>-174</v>
      </c>
      <c r="I89" s="62">
        <f t="shared" si="63"/>
        <v>-113</v>
      </c>
      <c r="J89" s="272">
        <v>-287</v>
      </c>
      <c r="L89" s="253">
        <v>-56</v>
      </c>
      <c r="M89" s="62">
        <f>+N89-L89</f>
        <v>-55</v>
      </c>
      <c r="N89" s="247">
        <v>-111</v>
      </c>
      <c r="O89" s="62">
        <f>+P89-N89</f>
        <v>-59</v>
      </c>
      <c r="P89" s="247">
        <v>-170</v>
      </c>
      <c r="Q89" s="62">
        <f>+R89-P89</f>
        <v>-112</v>
      </c>
      <c r="R89" s="272">
        <v>-282</v>
      </c>
      <c r="T89" s="253">
        <v>-68</v>
      </c>
      <c r="U89" s="62">
        <f>+V89-T89</f>
        <v>-57</v>
      </c>
      <c r="V89" s="247">
        <v>-125</v>
      </c>
      <c r="W89" s="62">
        <f>+X89-V89</f>
        <v>-64</v>
      </c>
      <c r="X89" s="247">
        <v>-189</v>
      </c>
      <c r="Y89" s="62">
        <f>+Z89-X89</f>
        <v>-92</v>
      </c>
      <c r="Z89" s="272">
        <v>-281</v>
      </c>
      <c r="AB89" s="253">
        <v>-68</v>
      </c>
      <c r="AC89" s="62">
        <f t="shared" si="64"/>
        <v>-57</v>
      </c>
      <c r="AD89" s="247">
        <v>-125</v>
      </c>
      <c r="AE89" s="62">
        <f t="shared" si="65"/>
        <v>-64</v>
      </c>
      <c r="AF89" s="247">
        <v>-189</v>
      </c>
      <c r="AG89" s="62">
        <f t="shared" si="66"/>
        <v>-92</v>
      </c>
      <c r="AH89" s="272">
        <v>-281</v>
      </c>
      <c r="AJ89" s="253">
        <v>-90</v>
      </c>
      <c r="AK89" s="62">
        <f t="shared" si="67"/>
        <v>-80</v>
      </c>
      <c r="AL89" s="247">
        <v>-170</v>
      </c>
      <c r="AM89" s="62">
        <f t="shared" si="68"/>
        <v>-90</v>
      </c>
      <c r="AN89" s="247">
        <v>-260</v>
      </c>
      <c r="AO89" s="62">
        <f t="shared" si="69"/>
        <v>-141</v>
      </c>
      <c r="AP89" s="272">
        <v>-401</v>
      </c>
      <c r="AR89" s="253">
        <v>-69</v>
      </c>
      <c r="AS89" s="62">
        <f t="shared" si="70"/>
        <v>-66</v>
      </c>
      <c r="AT89" s="247">
        <v>-135</v>
      </c>
      <c r="AU89" s="62">
        <f t="shared" si="73"/>
        <v>-65</v>
      </c>
      <c r="AV89" s="247">
        <v>-200</v>
      </c>
      <c r="AW89" s="62">
        <f t="shared" si="74"/>
        <v>-59</v>
      </c>
      <c r="AX89" s="272">
        <v>-259</v>
      </c>
      <c r="AZ89" s="405" t="s">
        <v>538</v>
      </c>
      <c r="BA89" s="192" t="s">
        <v>538</v>
      </c>
      <c r="BB89" s="247">
        <v>-124</v>
      </c>
      <c r="BC89" s="62" t="e">
        <f>BD89-BB89</f>
        <v>#VALUE!</v>
      </c>
      <c r="BD89" s="838" t="s">
        <v>538</v>
      </c>
      <c r="BE89" s="62" t="e">
        <f>+BF89-BD89</f>
        <v>#VALUE!</v>
      </c>
      <c r="BF89" s="272"/>
    </row>
    <row r="90" spans="1:58" s="60" customFormat="1" ht="12.75">
      <c r="A90" s="59"/>
      <c r="B90" s="152" t="s">
        <v>383</v>
      </c>
      <c r="D90" s="253"/>
      <c r="E90" s="62"/>
      <c r="F90" s="247"/>
      <c r="G90" s="62"/>
      <c r="H90" s="247"/>
      <c r="I90" s="62">
        <f t="shared" si="63"/>
        <v>-54</v>
      </c>
      <c r="J90" s="272">
        <f>-49-5</f>
        <v>-54</v>
      </c>
      <c r="L90" s="253"/>
      <c r="M90" s="62"/>
      <c r="N90" s="247"/>
      <c r="O90" s="62"/>
      <c r="P90" s="247"/>
      <c r="Q90" s="62">
        <f>+R90-P90</f>
        <v>-54</v>
      </c>
      <c r="R90" s="272">
        <f>-49-5</f>
        <v>-54</v>
      </c>
      <c r="T90" s="253"/>
      <c r="U90" s="62"/>
      <c r="V90" s="247"/>
      <c r="W90" s="62"/>
      <c r="X90" s="247"/>
      <c r="Y90" s="62">
        <f>+Z90-X90</f>
        <v>-72</v>
      </c>
      <c r="Z90" s="272">
        <f>-33-39</f>
        <v>-72</v>
      </c>
      <c r="AB90" s="253"/>
      <c r="AC90" s="62"/>
      <c r="AD90" s="247"/>
      <c r="AE90" s="62"/>
      <c r="AF90" s="247"/>
      <c r="AG90" s="62">
        <f>+AH90-AF90</f>
        <v>-72</v>
      </c>
      <c r="AH90" s="272">
        <f>-33-39</f>
        <v>-72</v>
      </c>
      <c r="AJ90" s="253"/>
      <c r="AK90" s="62">
        <f>+AL90-AJ90</f>
        <v>-11</v>
      </c>
      <c r="AL90" s="247">
        <v>-11</v>
      </c>
      <c r="AM90" s="62">
        <f>+AN90-AL90</f>
        <v>0</v>
      </c>
      <c r="AN90" s="247">
        <v>-11</v>
      </c>
      <c r="AO90" s="62">
        <f>+AP90-AN90</f>
        <v>-454</v>
      </c>
      <c r="AP90" s="272">
        <f>-244-219-2</f>
        <v>-465</v>
      </c>
      <c r="AR90" s="253"/>
      <c r="AS90" s="62"/>
      <c r="AT90" s="247"/>
      <c r="AU90" s="62"/>
      <c r="AV90" s="247"/>
      <c r="AW90" s="62">
        <f>+AX90-AV90</f>
        <v>-254</v>
      </c>
      <c r="AX90" s="272">
        <f>-217-37</f>
        <v>-254</v>
      </c>
      <c r="AZ90" s="253">
        <v>0</v>
      </c>
      <c r="BA90" s="62"/>
      <c r="BB90" s="247"/>
      <c r="BC90" s="62"/>
      <c r="BD90" s="838"/>
      <c r="BE90" s="62">
        <f>+BF90-BD90</f>
        <v>0</v>
      </c>
      <c r="BF90" s="272"/>
    </row>
    <row r="91" spans="1:58" s="60" customFormat="1" ht="12.75">
      <c r="A91" s="59"/>
      <c r="B91" s="152"/>
      <c r="D91" s="253"/>
      <c r="E91" s="62"/>
      <c r="F91" s="247"/>
      <c r="G91" s="62"/>
      <c r="H91" s="247"/>
      <c r="I91" s="62"/>
      <c r="J91" s="272"/>
      <c r="L91" s="253"/>
      <c r="M91" s="62"/>
      <c r="N91" s="247"/>
      <c r="O91" s="62"/>
      <c r="P91" s="247"/>
      <c r="Q91" s="62"/>
      <c r="R91" s="272"/>
      <c r="T91" s="253"/>
      <c r="U91" s="62"/>
      <c r="V91" s="247"/>
      <c r="W91" s="62"/>
      <c r="X91" s="247"/>
      <c r="Y91" s="62"/>
      <c r="Z91" s="272"/>
      <c r="AB91" s="253"/>
      <c r="AC91" s="62"/>
      <c r="AD91" s="247"/>
      <c r="AE91" s="62"/>
      <c r="AF91" s="247"/>
      <c r="AG91" s="62"/>
      <c r="AH91" s="272"/>
      <c r="AJ91" s="253"/>
      <c r="AK91" s="62"/>
      <c r="AL91" s="247"/>
      <c r="AM91" s="62"/>
      <c r="AN91" s="247"/>
      <c r="AO91" s="62"/>
      <c r="AP91" s="272"/>
      <c r="AR91" s="253"/>
      <c r="AS91" s="62"/>
      <c r="AT91" s="247"/>
      <c r="AU91" s="62"/>
      <c r="AV91" s="247"/>
      <c r="AW91" s="62"/>
      <c r="AX91" s="272"/>
      <c r="AZ91" s="253"/>
      <c r="BA91" s="62"/>
      <c r="BB91" s="247"/>
      <c r="BC91" s="62"/>
      <c r="BD91" s="838"/>
      <c r="BE91" s="62"/>
      <c r="BF91" s="272"/>
    </row>
    <row r="92" spans="2:58" ht="12.75">
      <c r="B92" s="298" t="s">
        <v>367</v>
      </c>
      <c r="D92" s="163">
        <f aca="true" t="shared" si="75" ref="D92:J92">+D86+D88+D89+D90</f>
        <v>-190</v>
      </c>
      <c r="E92" s="61">
        <f t="shared" si="75"/>
        <v>431</v>
      </c>
      <c r="F92" s="61">
        <f t="shared" si="75"/>
        <v>241</v>
      </c>
      <c r="G92" s="61">
        <f t="shared" si="75"/>
        <v>-34</v>
      </c>
      <c r="H92" s="61">
        <f t="shared" si="75"/>
        <v>207</v>
      </c>
      <c r="I92" s="61">
        <f t="shared" si="75"/>
        <v>-141</v>
      </c>
      <c r="J92" s="299">
        <f t="shared" si="75"/>
        <v>66</v>
      </c>
      <c r="L92" s="163">
        <f aca="true" t="shared" si="76" ref="L92:R92">+L86+L88+L89+L90</f>
        <v>-190</v>
      </c>
      <c r="M92" s="57">
        <f t="shared" si="76"/>
        <v>436</v>
      </c>
      <c r="N92" s="61">
        <f t="shared" si="76"/>
        <v>246</v>
      </c>
      <c r="O92" s="57">
        <f t="shared" si="76"/>
        <v>-34</v>
      </c>
      <c r="P92" s="61">
        <f t="shared" si="76"/>
        <v>212</v>
      </c>
      <c r="Q92" s="57">
        <f t="shared" si="76"/>
        <v>-154</v>
      </c>
      <c r="R92" s="92">
        <f t="shared" si="76"/>
        <v>58</v>
      </c>
      <c r="T92" s="163">
        <f aca="true" t="shared" si="77" ref="T92:Z92">+T86+T88+T89+T90</f>
        <v>120</v>
      </c>
      <c r="U92" s="57">
        <f t="shared" si="77"/>
        <v>37</v>
      </c>
      <c r="V92" s="61">
        <f t="shared" si="77"/>
        <v>157</v>
      </c>
      <c r="W92" s="57">
        <f t="shared" si="77"/>
        <v>22</v>
      </c>
      <c r="X92" s="61">
        <f t="shared" si="77"/>
        <v>179</v>
      </c>
      <c r="Y92" s="57">
        <f t="shared" si="77"/>
        <v>5</v>
      </c>
      <c r="Z92" s="92">
        <f t="shared" si="77"/>
        <v>184</v>
      </c>
      <c r="AB92" s="163">
        <f aca="true" t="shared" si="78" ref="AB92:AH92">+AB86+AB88+AB89+AB90</f>
        <v>120</v>
      </c>
      <c r="AC92" s="57">
        <f t="shared" si="78"/>
        <v>37</v>
      </c>
      <c r="AD92" s="61">
        <f t="shared" si="78"/>
        <v>157</v>
      </c>
      <c r="AE92" s="57">
        <f t="shared" si="78"/>
        <v>22</v>
      </c>
      <c r="AF92" s="61">
        <f t="shared" si="78"/>
        <v>179</v>
      </c>
      <c r="AG92" s="57">
        <f t="shared" si="78"/>
        <v>5</v>
      </c>
      <c r="AH92" s="92">
        <f t="shared" si="78"/>
        <v>184</v>
      </c>
      <c r="AJ92" s="163">
        <f aca="true" t="shared" si="79" ref="AJ92:AP92">+AJ86+AJ88+AJ89+AJ90</f>
        <v>-130</v>
      </c>
      <c r="AK92" s="57">
        <f t="shared" si="79"/>
        <v>-58</v>
      </c>
      <c r="AL92" s="61">
        <f t="shared" si="79"/>
        <v>-188</v>
      </c>
      <c r="AM92" s="57">
        <f t="shared" si="79"/>
        <v>-31</v>
      </c>
      <c r="AN92" s="61">
        <f t="shared" si="79"/>
        <v>-219</v>
      </c>
      <c r="AO92" s="57">
        <f t="shared" si="79"/>
        <v>525</v>
      </c>
      <c r="AP92" s="92">
        <f t="shared" si="79"/>
        <v>306</v>
      </c>
      <c r="AR92" s="163">
        <f aca="true" t="shared" si="80" ref="AR92:AX92">+AR86+AR88+AR89+AR90</f>
        <v>-40</v>
      </c>
      <c r="AS92" s="57">
        <f t="shared" si="80"/>
        <v>21</v>
      </c>
      <c r="AT92" s="61">
        <f t="shared" si="80"/>
        <v>-19</v>
      </c>
      <c r="AU92" s="57">
        <f t="shared" si="80"/>
        <v>-59</v>
      </c>
      <c r="AV92" s="61">
        <f t="shared" si="80"/>
        <v>-78</v>
      </c>
      <c r="AW92" s="57">
        <f t="shared" si="80"/>
        <v>-251</v>
      </c>
      <c r="AX92" s="92">
        <f t="shared" si="80"/>
        <v>-329</v>
      </c>
      <c r="AZ92" s="458" t="s">
        <v>538</v>
      </c>
      <c r="BA92" s="192" t="s">
        <v>538</v>
      </c>
      <c r="BB92" s="61">
        <f>+BB86+BB88+BB89+BB90</f>
        <v>46</v>
      </c>
      <c r="BC92" s="57" t="e">
        <f>+BC86+BC88+BC89+BC90</f>
        <v>#VALUE!</v>
      </c>
      <c r="BD92" s="835" t="s">
        <v>538</v>
      </c>
      <c r="BE92" s="57" t="e">
        <f>+BE86+BE88+BE89+BE90</f>
        <v>#VALUE!</v>
      </c>
      <c r="BF92" s="92">
        <f>+BF86+BF88+BF89+BF90</f>
        <v>0</v>
      </c>
    </row>
    <row r="93" spans="2:58" s="112" customFormat="1" ht="12.75">
      <c r="B93" s="175"/>
      <c r="D93" s="269"/>
      <c r="F93" s="244"/>
      <c r="H93" s="244"/>
      <c r="I93" s="57"/>
      <c r="J93" s="135"/>
      <c r="L93" s="269"/>
      <c r="N93" s="244"/>
      <c r="P93" s="244"/>
      <c r="Q93" s="57"/>
      <c r="R93" s="135"/>
      <c r="T93" s="269"/>
      <c r="V93" s="244"/>
      <c r="X93" s="244"/>
      <c r="Y93" s="57"/>
      <c r="Z93" s="135"/>
      <c r="AB93" s="269"/>
      <c r="AD93" s="244"/>
      <c r="AF93" s="244"/>
      <c r="AG93" s="57"/>
      <c r="AH93" s="135"/>
      <c r="AJ93" s="269"/>
      <c r="AL93" s="244"/>
      <c r="AN93" s="244"/>
      <c r="AO93" s="57"/>
      <c r="AP93" s="135"/>
      <c r="AR93" s="269"/>
      <c r="AT93" s="244"/>
      <c r="AV93" s="244"/>
      <c r="AW93" s="57"/>
      <c r="AX93" s="135"/>
      <c r="AZ93" s="269"/>
      <c r="BB93" s="244"/>
      <c r="BD93" s="836"/>
      <c r="BE93" s="57"/>
      <c r="BF93" s="135"/>
    </row>
    <row r="94" spans="2:58" s="60" customFormat="1" ht="12.75">
      <c r="B94" s="152" t="s">
        <v>174</v>
      </c>
      <c r="D94" s="248">
        <f>27+15+1</f>
        <v>43</v>
      </c>
      <c r="E94" s="62">
        <f>+F94-D94</f>
        <v>50</v>
      </c>
      <c r="F94" s="247">
        <v>93</v>
      </c>
      <c r="G94" s="62">
        <f>+H94-F94</f>
        <v>44</v>
      </c>
      <c r="H94" s="247">
        <f>87+44+6</f>
        <v>137</v>
      </c>
      <c r="I94" s="62">
        <f>+J94-H94</f>
        <v>90</v>
      </c>
      <c r="J94" s="272">
        <v>227</v>
      </c>
      <c r="L94" s="248">
        <v>43</v>
      </c>
      <c r="M94" s="62">
        <f>+N94-L94</f>
        <v>50</v>
      </c>
      <c r="N94" s="247">
        <v>93</v>
      </c>
      <c r="O94" s="62">
        <f>+P94-N94</f>
        <v>44</v>
      </c>
      <c r="P94" s="247">
        <f>87+44+6</f>
        <v>137</v>
      </c>
      <c r="Q94" s="62">
        <f>+R94-P94</f>
        <v>90</v>
      </c>
      <c r="R94" s="272">
        <v>227</v>
      </c>
      <c r="T94" s="248">
        <v>68</v>
      </c>
      <c r="U94" s="62">
        <f>+V94-T94</f>
        <v>57</v>
      </c>
      <c r="V94" s="247">
        <v>125</v>
      </c>
      <c r="W94" s="62">
        <f>+X94-V94</f>
        <v>86</v>
      </c>
      <c r="X94" s="247">
        <f>153+46+12</f>
        <v>211</v>
      </c>
      <c r="Y94" s="62">
        <f>+Z94-X94</f>
        <v>126</v>
      </c>
      <c r="Z94" s="272">
        <v>337</v>
      </c>
      <c r="AB94" s="248">
        <v>68</v>
      </c>
      <c r="AC94" s="62">
        <f>+AD94-AB94</f>
        <v>57</v>
      </c>
      <c r="AD94" s="247">
        <v>125</v>
      </c>
      <c r="AE94" s="62">
        <f>+AF94-AD94</f>
        <v>86</v>
      </c>
      <c r="AF94" s="247">
        <v>211</v>
      </c>
      <c r="AG94" s="62">
        <f>+AH94-AF94</f>
        <v>126</v>
      </c>
      <c r="AH94" s="272">
        <v>337</v>
      </c>
      <c r="AJ94" s="248">
        <v>94</v>
      </c>
      <c r="AK94" s="62">
        <f>+AL94-AJ94</f>
        <v>150</v>
      </c>
      <c r="AL94" s="247">
        <v>244</v>
      </c>
      <c r="AM94" s="62">
        <f>+AN94-AL94</f>
        <v>118</v>
      </c>
      <c r="AN94" s="247">
        <v>362</v>
      </c>
      <c r="AO94" s="62">
        <f>+AP94-AN94</f>
        <v>117</v>
      </c>
      <c r="AP94" s="272">
        <v>479</v>
      </c>
      <c r="AR94" s="248">
        <v>86</v>
      </c>
      <c r="AS94" s="62">
        <f>+AT94-AR94</f>
        <v>73</v>
      </c>
      <c r="AT94" s="247">
        <v>159</v>
      </c>
      <c r="AU94" s="62">
        <f t="shared" si="73"/>
        <v>-9</v>
      </c>
      <c r="AV94" s="247">
        <v>150</v>
      </c>
      <c r="AW94" s="62">
        <f t="shared" si="74"/>
        <v>142</v>
      </c>
      <c r="AX94" s="272">
        <v>292</v>
      </c>
      <c r="AZ94" s="456" t="s">
        <v>538</v>
      </c>
      <c r="BA94" s="192" t="s">
        <v>538</v>
      </c>
      <c r="BB94" s="247">
        <v>161</v>
      </c>
      <c r="BC94" s="62" t="e">
        <f>BD94-BB94</f>
        <v>#VALUE!</v>
      </c>
      <c r="BD94" s="838" t="s">
        <v>538</v>
      </c>
      <c r="BE94" s="62" t="e">
        <f>+BF94-BD94</f>
        <v>#VALUE!</v>
      </c>
      <c r="BF94" s="272"/>
    </row>
    <row r="95" spans="2:58" ht="12.75">
      <c r="B95" s="155"/>
      <c r="D95" s="249"/>
      <c r="E95" s="64"/>
      <c r="F95" s="247"/>
      <c r="G95" s="64"/>
      <c r="H95" s="247"/>
      <c r="I95" s="57"/>
      <c r="J95" s="272"/>
      <c r="L95" s="249"/>
      <c r="M95" s="64"/>
      <c r="N95" s="247"/>
      <c r="O95" s="64"/>
      <c r="P95" s="247"/>
      <c r="Q95" s="57"/>
      <c r="R95" s="272"/>
      <c r="T95" s="249"/>
      <c r="U95" s="64"/>
      <c r="V95" s="247"/>
      <c r="W95" s="64"/>
      <c r="X95" s="247"/>
      <c r="Y95" s="57"/>
      <c r="Z95" s="272"/>
      <c r="AB95" s="249"/>
      <c r="AC95" s="64"/>
      <c r="AD95" s="247"/>
      <c r="AE95" s="64"/>
      <c r="AF95" s="247"/>
      <c r="AG95" s="57"/>
      <c r="AH95" s="272"/>
      <c r="AJ95" s="249"/>
      <c r="AK95" s="64"/>
      <c r="AL95" s="247"/>
      <c r="AM95" s="64"/>
      <c r="AN95" s="247"/>
      <c r="AO95" s="57"/>
      <c r="AP95" s="272"/>
      <c r="AR95" s="249"/>
      <c r="AS95" s="64"/>
      <c r="AT95" s="247"/>
      <c r="AU95" s="64"/>
      <c r="AV95" s="247"/>
      <c r="AW95" s="57"/>
      <c r="AX95" s="272"/>
      <c r="AZ95" s="454"/>
      <c r="BA95" s="64"/>
      <c r="BB95" s="247"/>
      <c r="BC95" s="64"/>
      <c r="BD95" s="838"/>
      <c r="BE95" s="57"/>
      <c r="BF95" s="272"/>
    </row>
    <row r="96" spans="2:58" ht="12.75">
      <c r="B96" s="341" t="s">
        <v>522</v>
      </c>
      <c r="D96" s="265">
        <v>1387</v>
      </c>
      <c r="E96" s="171"/>
      <c r="F96" s="266">
        <v>1410</v>
      </c>
      <c r="G96" s="171"/>
      <c r="H96" s="266">
        <v>1421</v>
      </c>
      <c r="I96" s="172"/>
      <c r="J96" s="281">
        <v>1421</v>
      </c>
      <c r="L96" s="265">
        <v>1415</v>
      </c>
      <c r="M96" s="171"/>
      <c r="N96" s="266">
        <v>1403</v>
      </c>
      <c r="O96" s="171"/>
      <c r="P96" s="266">
        <v>1415</v>
      </c>
      <c r="Q96" s="172"/>
      <c r="R96" s="281">
        <v>1415</v>
      </c>
      <c r="T96" s="265">
        <v>1415</v>
      </c>
      <c r="U96" s="171"/>
      <c r="V96" s="266">
        <v>1411</v>
      </c>
      <c r="W96" s="171"/>
      <c r="X96" s="266">
        <v>1410</v>
      </c>
      <c r="Y96" s="172"/>
      <c r="Z96" s="281">
        <v>1419</v>
      </c>
      <c r="AB96" s="265">
        <v>1419</v>
      </c>
      <c r="AC96" s="171"/>
      <c r="AD96" s="266">
        <v>1419</v>
      </c>
      <c r="AE96" s="171"/>
      <c r="AF96" s="266">
        <v>1419</v>
      </c>
      <c r="AG96" s="172"/>
      <c r="AH96" s="281">
        <v>1419</v>
      </c>
      <c r="AJ96" s="265">
        <v>1428</v>
      </c>
      <c r="AK96" s="171"/>
      <c r="AL96" s="266">
        <v>1415</v>
      </c>
      <c r="AM96" s="171"/>
      <c r="AN96" s="266">
        <v>1416</v>
      </c>
      <c r="AO96" s="172"/>
      <c r="AP96" s="281">
        <v>1414</v>
      </c>
      <c r="AR96" s="265">
        <v>1395</v>
      </c>
      <c r="AS96" s="171"/>
      <c r="AT96" s="266">
        <v>1382</v>
      </c>
      <c r="AU96" s="171"/>
      <c r="AV96" s="266">
        <v>1368</v>
      </c>
      <c r="AW96" s="172"/>
      <c r="AX96" s="281">
        <v>1379</v>
      </c>
      <c r="AZ96" s="455" t="s">
        <v>538</v>
      </c>
      <c r="BA96" s="460" t="s">
        <v>538</v>
      </c>
      <c r="BB96" s="266">
        <v>1352</v>
      </c>
      <c r="BC96" s="171"/>
      <c r="BD96" s="839" t="s">
        <v>538</v>
      </c>
      <c r="BE96" s="172"/>
      <c r="BF96" s="281"/>
    </row>
    <row r="97" spans="2:56" ht="12.75">
      <c r="B97" s="70"/>
      <c r="D97" s="183"/>
      <c r="E97" s="183"/>
      <c r="F97" s="183"/>
      <c r="G97" s="183"/>
      <c r="H97" s="183"/>
      <c r="I97" s="183"/>
      <c r="J97" s="183"/>
      <c r="Q97" s="59"/>
      <c r="BD97" s="183"/>
    </row>
    <row r="98" spans="4:56" s="51" customFormat="1" ht="12.75">
      <c r="D98" s="183"/>
      <c r="E98" s="183"/>
      <c r="F98" s="183"/>
      <c r="G98" s="183"/>
      <c r="H98" s="183"/>
      <c r="I98" s="183"/>
      <c r="J98" s="183"/>
      <c r="BD98" s="183"/>
    </row>
    <row r="99" spans="2:58" s="53" customFormat="1" ht="17.25" customHeight="1">
      <c r="B99" s="148" t="s">
        <v>222</v>
      </c>
      <c r="D99" s="451" t="s">
        <v>232</v>
      </c>
      <c r="E99" s="452" t="s">
        <v>233</v>
      </c>
      <c r="F99" s="452" t="s">
        <v>234</v>
      </c>
      <c r="G99" s="452" t="s">
        <v>235</v>
      </c>
      <c r="H99" s="452" t="s">
        <v>236</v>
      </c>
      <c r="I99" s="452" t="s">
        <v>237</v>
      </c>
      <c r="J99" s="453" t="s">
        <v>238</v>
      </c>
      <c r="L99" s="451" t="s">
        <v>232</v>
      </c>
      <c r="M99" s="452" t="s">
        <v>233</v>
      </c>
      <c r="N99" s="452" t="s">
        <v>234</v>
      </c>
      <c r="O99" s="452" t="s">
        <v>235</v>
      </c>
      <c r="P99" s="452" t="s">
        <v>236</v>
      </c>
      <c r="Q99" s="452" t="s">
        <v>237</v>
      </c>
      <c r="R99" s="453" t="s">
        <v>238</v>
      </c>
      <c r="T99" s="451" t="s">
        <v>247</v>
      </c>
      <c r="U99" s="452" t="s">
        <v>248</v>
      </c>
      <c r="V99" s="452" t="s">
        <v>249</v>
      </c>
      <c r="W99" s="452" t="s">
        <v>250</v>
      </c>
      <c r="X99" s="452" t="s">
        <v>251</v>
      </c>
      <c r="Y99" s="452" t="s">
        <v>252</v>
      </c>
      <c r="Z99" s="453" t="s">
        <v>253</v>
      </c>
      <c r="AB99" s="451" t="str">
        <f aca="true" t="shared" si="81" ref="AB99:AH99">+AB4</f>
        <v>IQ 2014</v>
      </c>
      <c r="AC99" s="452" t="str">
        <f t="shared" si="81"/>
        <v>IIQ 2014</v>
      </c>
      <c r="AD99" s="452" t="str">
        <f t="shared" si="81"/>
        <v>IH 2014</v>
      </c>
      <c r="AE99" s="452" t="str">
        <f t="shared" si="81"/>
        <v>III Q 2014</v>
      </c>
      <c r="AF99" s="452" t="str">
        <f t="shared" si="81"/>
        <v>9M 2014</v>
      </c>
      <c r="AG99" s="452" t="str">
        <f t="shared" si="81"/>
        <v>IV Q 2014</v>
      </c>
      <c r="AH99" s="453" t="str">
        <f t="shared" si="81"/>
        <v>FY 2014</v>
      </c>
      <c r="AJ99" s="451" t="str">
        <f aca="true" t="shared" si="82" ref="AJ99:AP99">+AJ4</f>
        <v>IQ 2015</v>
      </c>
      <c r="AK99" s="452" t="str">
        <f t="shared" si="82"/>
        <v>IIQ 2015</v>
      </c>
      <c r="AL99" s="452" t="str">
        <f t="shared" si="82"/>
        <v>IH 2015</v>
      </c>
      <c r="AM99" s="452" t="str">
        <f t="shared" si="82"/>
        <v>III Q 2015</v>
      </c>
      <c r="AN99" s="452" t="str">
        <f t="shared" si="82"/>
        <v>9M 2015</v>
      </c>
      <c r="AO99" s="452" t="str">
        <f t="shared" si="82"/>
        <v>IV Q 2015</v>
      </c>
      <c r="AP99" s="453" t="str">
        <f t="shared" si="82"/>
        <v>FY 2015</v>
      </c>
      <c r="AR99" s="451" t="s">
        <v>295</v>
      </c>
      <c r="AS99" s="452" t="s">
        <v>296</v>
      </c>
      <c r="AT99" s="452" t="s">
        <v>297</v>
      </c>
      <c r="AU99" s="452" t="s">
        <v>298</v>
      </c>
      <c r="AV99" s="452" t="s">
        <v>299</v>
      </c>
      <c r="AW99" s="452" t="s">
        <v>300</v>
      </c>
      <c r="AX99" s="453" t="s">
        <v>371</v>
      </c>
      <c r="AZ99" s="451" t="str">
        <f>+AZ78</f>
        <v>IQ 2017</v>
      </c>
      <c r="BA99" s="451" t="str">
        <f aca="true" t="shared" si="83" ref="BA99:BF99">+BA78</f>
        <v>IIQ 2017</v>
      </c>
      <c r="BB99" s="451" t="str">
        <f t="shared" si="83"/>
        <v>IH 2017 (5) </v>
      </c>
      <c r="BC99" s="451" t="str">
        <f t="shared" si="83"/>
        <v>III Q 2017</v>
      </c>
      <c r="BD99" s="451" t="str">
        <f t="shared" si="83"/>
        <v>9M 2017</v>
      </c>
      <c r="BE99" s="451" t="str">
        <f t="shared" si="83"/>
        <v>IV Q 2017</v>
      </c>
      <c r="BF99" s="451" t="str">
        <f t="shared" si="83"/>
        <v>FY 2017 (1)</v>
      </c>
    </row>
    <row r="100" spans="2:58" ht="12.75">
      <c r="B100" s="173"/>
      <c r="D100" s="97"/>
      <c r="E100" s="183"/>
      <c r="F100" s="183"/>
      <c r="G100" s="183"/>
      <c r="H100" s="183"/>
      <c r="I100" s="183"/>
      <c r="J100" s="114"/>
      <c r="L100" s="206"/>
      <c r="M100" s="207"/>
      <c r="N100" s="207"/>
      <c r="O100" s="207"/>
      <c r="P100" s="207"/>
      <c r="Q100" s="207"/>
      <c r="R100" s="208"/>
      <c r="T100" s="206"/>
      <c r="U100" s="207"/>
      <c r="V100" s="207"/>
      <c r="W100" s="207"/>
      <c r="X100" s="207"/>
      <c r="Y100" s="207"/>
      <c r="Z100" s="208"/>
      <c r="AB100" s="206"/>
      <c r="AC100" s="207"/>
      <c r="AD100" s="207"/>
      <c r="AE100" s="207"/>
      <c r="AF100" s="207"/>
      <c r="AG100" s="207"/>
      <c r="AH100" s="208"/>
      <c r="AJ100" s="206"/>
      <c r="AK100" s="207"/>
      <c r="AL100" s="207"/>
      <c r="AM100" s="207"/>
      <c r="AN100" s="207"/>
      <c r="AO100" s="207"/>
      <c r="AP100" s="208"/>
      <c r="AR100" s="206"/>
      <c r="AS100" s="207"/>
      <c r="AT100" s="207"/>
      <c r="AU100" s="207"/>
      <c r="AV100" s="207"/>
      <c r="AW100" s="207"/>
      <c r="AX100" s="208"/>
      <c r="AZ100" s="206"/>
      <c r="BA100" s="207"/>
      <c r="BB100" s="207"/>
      <c r="BC100" s="207"/>
      <c r="BD100" s="837"/>
      <c r="BE100" s="207"/>
      <c r="BF100" s="208"/>
    </row>
    <row r="101" spans="2:58" ht="12.75">
      <c r="B101" s="151" t="s">
        <v>141</v>
      </c>
      <c r="D101" s="97"/>
      <c r="E101" s="177"/>
      <c r="F101" s="183"/>
      <c r="G101" s="183"/>
      <c r="H101" s="183"/>
      <c r="I101" s="183"/>
      <c r="J101" s="114"/>
      <c r="L101" s="115"/>
      <c r="M101" s="177"/>
      <c r="Q101" s="59"/>
      <c r="R101" s="104"/>
      <c r="T101" s="115"/>
      <c r="U101" s="177"/>
      <c r="Z101" s="104"/>
      <c r="AB101" s="115"/>
      <c r="AC101" s="177"/>
      <c r="AH101" s="104"/>
      <c r="AJ101" s="115"/>
      <c r="AK101" s="177"/>
      <c r="AP101" s="104"/>
      <c r="AR101" s="115"/>
      <c r="AS101" s="177"/>
      <c r="AX101" s="104"/>
      <c r="AZ101" s="115"/>
      <c r="BA101" s="177"/>
      <c r="BD101" s="183"/>
      <c r="BF101" s="104"/>
    </row>
    <row r="102" spans="2:58" s="60" customFormat="1" ht="12.75">
      <c r="B102" s="174" t="s">
        <v>118</v>
      </c>
      <c r="D102" s="253">
        <v>4007</v>
      </c>
      <c r="E102" s="20">
        <f aca="true" t="shared" si="84" ref="E102:I106">+F102-D102</f>
        <v>2494</v>
      </c>
      <c r="F102" s="247">
        <v>6501</v>
      </c>
      <c r="G102" s="20">
        <f t="shared" si="84"/>
        <v>3248</v>
      </c>
      <c r="H102" s="247">
        <v>9749</v>
      </c>
      <c r="I102" s="20">
        <f t="shared" si="84"/>
        <v>3754</v>
      </c>
      <c r="J102" s="277">
        <v>13503</v>
      </c>
      <c r="L102" s="253">
        <v>4007</v>
      </c>
      <c r="M102" s="20">
        <f>+N102-L102</f>
        <v>2494</v>
      </c>
      <c r="N102" s="247">
        <v>6501</v>
      </c>
      <c r="O102" s="20">
        <f>+P102-N102</f>
        <v>3211</v>
      </c>
      <c r="P102" s="247">
        <v>9712</v>
      </c>
      <c r="Q102" s="20">
        <f>+R102-P102</f>
        <v>3791</v>
      </c>
      <c r="R102" s="277">
        <v>13503</v>
      </c>
      <c r="T102" s="253">
        <v>3187</v>
      </c>
      <c r="U102" s="20">
        <f>+V102-T102</f>
        <v>2438</v>
      </c>
      <c r="V102" s="247">
        <v>5625</v>
      </c>
      <c r="W102" s="20">
        <f>+X102-V102</f>
        <v>2816</v>
      </c>
      <c r="X102" s="247">
        <v>8441</v>
      </c>
      <c r="Y102" s="20">
        <f>+Z102-X102</f>
        <v>3315</v>
      </c>
      <c r="Z102" s="277">
        <v>11756</v>
      </c>
      <c r="AB102" s="253">
        <v>3197</v>
      </c>
      <c r="AC102" s="20">
        <f>+AD102-AB102</f>
        <v>2428</v>
      </c>
      <c r="AD102" s="247">
        <v>5625</v>
      </c>
      <c r="AE102" s="20">
        <f>+AF102-AD102</f>
        <v>2816</v>
      </c>
      <c r="AF102" s="247">
        <v>8441</v>
      </c>
      <c r="AG102" s="20">
        <f>+AH102-AF102</f>
        <v>3315</v>
      </c>
      <c r="AH102" s="277">
        <v>11756</v>
      </c>
      <c r="AJ102" s="253">
        <v>3706</v>
      </c>
      <c r="AK102" s="20">
        <f>+AL102-AJ102</f>
        <v>3007</v>
      </c>
      <c r="AL102" s="247">
        <v>6713</v>
      </c>
      <c r="AM102" s="20">
        <f>+AN102-AL102</f>
        <v>4161</v>
      </c>
      <c r="AN102" s="247">
        <v>10874</v>
      </c>
      <c r="AO102" s="20">
        <f>+AP102-AN102</f>
        <v>3242</v>
      </c>
      <c r="AP102" s="277">
        <v>14116</v>
      </c>
      <c r="AR102" s="253">
        <v>3918</v>
      </c>
      <c r="AS102" s="20">
        <f>+AT102-AR102</f>
        <v>3342</v>
      </c>
      <c r="AT102" s="247">
        <v>7260</v>
      </c>
      <c r="AU102" s="20">
        <f>+AV102-AT102</f>
        <v>4443</v>
      </c>
      <c r="AV102" s="247">
        <v>11703</v>
      </c>
      <c r="AW102" s="20">
        <f>+AX102-AV102</f>
        <v>5062</v>
      </c>
      <c r="AX102" s="277">
        <v>16765</v>
      </c>
      <c r="AZ102" s="253">
        <v>4682</v>
      </c>
      <c r="BA102" s="20">
        <f>+BB102-AZ102</f>
        <v>3733</v>
      </c>
      <c r="BB102" s="247">
        <v>8415</v>
      </c>
      <c r="BC102" s="20">
        <f>+BD102-BB102</f>
        <v>4086</v>
      </c>
      <c r="BD102" s="247">
        <v>12501</v>
      </c>
      <c r="BE102" s="20">
        <f>+BF102-BD102</f>
        <v>-12501</v>
      </c>
      <c r="BF102" s="277"/>
    </row>
    <row r="103" spans="2:58" s="60" customFormat="1" ht="12.75">
      <c r="B103" s="176" t="s">
        <v>119</v>
      </c>
      <c r="D103" s="253">
        <v>550</v>
      </c>
      <c r="E103" s="20">
        <f t="shared" si="84"/>
        <v>1553</v>
      </c>
      <c r="F103" s="247">
        <v>2103</v>
      </c>
      <c r="G103" s="20">
        <f t="shared" si="84"/>
        <v>1218</v>
      </c>
      <c r="H103" s="247">
        <v>3321</v>
      </c>
      <c r="I103" s="20">
        <f t="shared" si="84"/>
        <v>1017</v>
      </c>
      <c r="J103" s="277">
        <v>4338</v>
      </c>
      <c r="L103" s="253">
        <v>500</v>
      </c>
      <c r="M103" s="20">
        <f>+N103-L103</f>
        <v>1479</v>
      </c>
      <c r="N103" s="247">
        <v>1979</v>
      </c>
      <c r="O103" s="20">
        <f>+P103-N103</f>
        <v>1104</v>
      </c>
      <c r="P103" s="247">
        <v>3083</v>
      </c>
      <c r="Q103" s="20">
        <f>+R103-P103</f>
        <v>946</v>
      </c>
      <c r="R103" s="277">
        <v>4029</v>
      </c>
      <c r="T103" s="253">
        <v>835</v>
      </c>
      <c r="U103" s="20">
        <f>+V103-T103</f>
        <v>1532</v>
      </c>
      <c r="V103" s="247">
        <v>2367</v>
      </c>
      <c r="W103" s="20">
        <f>+X103-V103</f>
        <v>1511</v>
      </c>
      <c r="X103" s="247">
        <v>3878</v>
      </c>
      <c r="Y103" s="20">
        <f>+Z103-X103</f>
        <v>1076</v>
      </c>
      <c r="Z103" s="277">
        <v>4954</v>
      </c>
      <c r="AB103" s="253">
        <v>835</v>
      </c>
      <c r="AC103" s="20">
        <f>+AD103-AB103</f>
        <v>1532</v>
      </c>
      <c r="AD103" s="247">
        <v>2367</v>
      </c>
      <c r="AE103" s="20">
        <f>+AF103-AD103</f>
        <v>1511</v>
      </c>
      <c r="AF103" s="247">
        <v>3878</v>
      </c>
      <c r="AG103" s="20">
        <f>+AH103-AF103</f>
        <v>1076</v>
      </c>
      <c r="AH103" s="277">
        <v>4954</v>
      </c>
      <c r="AJ103" s="253">
        <v>590</v>
      </c>
      <c r="AK103" s="20">
        <f>+AL103-AJ103</f>
        <v>1050</v>
      </c>
      <c r="AL103" s="247">
        <v>1640</v>
      </c>
      <c r="AM103" s="20">
        <f>+AN103-AL103</f>
        <v>1033</v>
      </c>
      <c r="AN103" s="247">
        <v>2673</v>
      </c>
      <c r="AO103" s="20">
        <f>+AP103-AN103</f>
        <v>705</v>
      </c>
      <c r="AP103" s="277">
        <v>3378</v>
      </c>
      <c r="AR103" s="253">
        <v>304</v>
      </c>
      <c r="AS103" s="20">
        <f>+AT103-AR103</f>
        <v>870</v>
      </c>
      <c r="AT103" s="247">
        <v>1174</v>
      </c>
      <c r="AU103" s="20">
        <f>+AV103-AT103</f>
        <v>746</v>
      </c>
      <c r="AV103" s="247">
        <v>1920</v>
      </c>
      <c r="AW103" s="20">
        <f>+AX103-AV103</f>
        <v>570</v>
      </c>
      <c r="AX103" s="277">
        <v>2490</v>
      </c>
      <c r="AZ103" s="253">
        <v>337</v>
      </c>
      <c r="BA103" s="20">
        <f>+BB103-AZ103</f>
        <v>704</v>
      </c>
      <c r="BB103" s="247">
        <v>1041</v>
      </c>
      <c r="BC103" s="20">
        <f>+BD103-BB103</f>
        <v>720</v>
      </c>
      <c r="BD103" s="247">
        <v>1761</v>
      </c>
      <c r="BE103" s="20">
        <f>+BF103-BD103</f>
        <v>-1761</v>
      </c>
      <c r="BF103" s="277"/>
    </row>
    <row r="104" spans="2:58" s="60" customFormat="1" ht="12.75">
      <c r="B104" s="174" t="s">
        <v>184</v>
      </c>
      <c r="D104" s="253">
        <v>289</v>
      </c>
      <c r="E104" s="20">
        <f t="shared" si="84"/>
        <v>219</v>
      </c>
      <c r="F104" s="247">
        <v>508</v>
      </c>
      <c r="G104" s="20">
        <f t="shared" si="84"/>
        <v>157</v>
      </c>
      <c r="H104" s="247">
        <v>665</v>
      </c>
      <c r="I104" s="20">
        <f t="shared" si="84"/>
        <v>211</v>
      </c>
      <c r="J104" s="277">
        <v>876</v>
      </c>
      <c r="L104" s="253">
        <v>289</v>
      </c>
      <c r="M104" s="20">
        <f>+N104-L104</f>
        <v>216</v>
      </c>
      <c r="N104" s="247">
        <v>505</v>
      </c>
      <c r="O104" s="20">
        <f>+P104-N104</f>
        <v>125</v>
      </c>
      <c r="P104" s="247">
        <v>630</v>
      </c>
      <c r="Q104" s="20">
        <f>+R104-P104</f>
        <v>246</v>
      </c>
      <c r="R104" s="277">
        <v>876</v>
      </c>
      <c r="T104" s="253">
        <v>290</v>
      </c>
      <c r="U104" s="20">
        <f>+V104-T104</f>
        <v>190</v>
      </c>
      <c r="V104" s="247">
        <v>480</v>
      </c>
      <c r="W104" s="20">
        <f>+X104-V104</f>
        <v>158</v>
      </c>
      <c r="X104" s="247">
        <v>638</v>
      </c>
      <c r="Y104" s="20">
        <f>+Z104-X104</f>
        <v>268</v>
      </c>
      <c r="Z104" s="277">
        <v>906</v>
      </c>
      <c r="AB104" s="253">
        <v>280</v>
      </c>
      <c r="AC104" s="20">
        <f>+AD104-AB104</f>
        <v>200</v>
      </c>
      <c r="AD104" s="247">
        <v>480</v>
      </c>
      <c r="AE104" s="20">
        <f>+AF104-AD104</f>
        <v>158</v>
      </c>
      <c r="AF104" s="247">
        <v>638</v>
      </c>
      <c r="AG104" s="20">
        <f>+AH104-AF104</f>
        <v>268</v>
      </c>
      <c r="AH104" s="277">
        <v>906</v>
      </c>
      <c r="AJ104" s="253">
        <v>330</v>
      </c>
      <c r="AK104" s="20">
        <f>+AL104-AJ104</f>
        <v>286</v>
      </c>
      <c r="AL104" s="247">
        <v>616</v>
      </c>
      <c r="AM104" s="20">
        <f>+AN104-AL104</f>
        <v>176</v>
      </c>
      <c r="AN104" s="247">
        <v>792</v>
      </c>
      <c r="AO104" s="20">
        <f>+AP104-AN104</f>
        <v>195</v>
      </c>
      <c r="AP104" s="277">
        <v>987</v>
      </c>
      <c r="AR104" s="253">
        <v>369</v>
      </c>
      <c r="AS104" s="20">
        <f>+AT104-AR104</f>
        <v>276</v>
      </c>
      <c r="AT104" s="247">
        <v>645</v>
      </c>
      <c r="AU104" s="20">
        <f>+AV104-AT104</f>
        <v>188</v>
      </c>
      <c r="AV104" s="247">
        <v>833</v>
      </c>
      <c r="AW104" s="20">
        <f>+AX104-AV104</f>
        <v>270</v>
      </c>
      <c r="AX104" s="277">
        <v>1103</v>
      </c>
      <c r="AZ104" s="253">
        <v>324</v>
      </c>
      <c r="BA104" s="20">
        <f>+BB104-AZ104</f>
        <v>218</v>
      </c>
      <c r="BB104" s="247">
        <v>542</v>
      </c>
      <c r="BC104" s="20">
        <f>+BD104-BB104</f>
        <v>213</v>
      </c>
      <c r="BD104" s="247">
        <v>755</v>
      </c>
      <c r="BE104" s="20">
        <f>+BF104-BD104</f>
        <v>-755</v>
      </c>
      <c r="BF104" s="277"/>
    </row>
    <row r="105" spans="2:58" s="60" customFormat="1" ht="12.75">
      <c r="B105" s="155" t="s">
        <v>142</v>
      </c>
      <c r="D105" s="253">
        <v>8918</v>
      </c>
      <c r="E105" s="290">
        <f t="shared" si="84"/>
        <v>9104</v>
      </c>
      <c r="F105" s="191">
        <v>18022</v>
      </c>
      <c r="G105" s="290">
        <f t="shared" si="84"/>
        <v>10034</v>
      </c>
      <c r="H105" s="191">
        <v>28056</v>
      </c>
      <c r="I105" s="290">
        <f t="shared" si="84"/>
        <v>9569</v>
      </c>
      <c r="J105" s="320">
        <v>37625</v>
      </c>
      <c r="L105" s="253">
        <v>8968</v>
      </c>
      <c r="M105" s="20">
        <f>+N105-L105</f>
        <v>18632</v>
      </c>
      <c r="N105" s="247">
        <v>27600</v>
      </c>
      <c r="O105" s="20">
        <f>+P105-N105</f>
        <v>13088</v>
      </c>
      <c r="P105" s="247">
        <v>40688</v>
      </c>
      <c r="Q105" s="20">
        <f>+R105-P105</f>
        <v>14719</v>
      </c>
      <c r="R105" s="277">
        <v>55407</v>
      </c>
      <c r="T105" s="253">
        <v>10717</v>
      </c>
      <c r="U105" s="20">
        <f>+V105-T105</f>
        <v>25850</v>
      </c>
      <c r="V105" s="247">
        <v>36567</v>
      </c>
      <c r="W105" s="20">
        <f>+X105-V105</f>
        <v>21909</v>
      </c>
      <c r="X105" s="247">
        <v>58476</v>
      </c>
      <c r="Y105" s="20">
        <f>+Z105-X105</f>
        <v>20088</v>
      </c>
      <c r="Z105" s="277">
        <v>78564</v>
      </c>
      <c r="AB105" s="253">
        <v>17986</v>
      </c>
      <c r="AC105" s="20">
        <f>+AD105-AB105</f>
        <v>18581</v>
      </c>
      <c r="AD105" s="247">
        <v>36567</v>
      </c>
      <c r="AE105" s="20">
        <f>+AF105-AD105</f>
        <v>21909</v>
      </c>
      <c r="AF105" s="247">
        <v>58476</v>
      </c>
      <c r="AG105" s="20">
        <f>+AH105-AF105</f>
        <v>19439</v>
      </c>
      <c r="AH105" s="277">
        <v>77915</v>
      </c>
      <c r="AJ105" s="253">
        <v>17470</v>
      </c>
      <c r="AK105" s="20">
        <f>+AL105-AJ105</f>
        <v>17619</v>
      </c>
      <c r="AL105" s="247">
        <v>35089</v>
      </c>
      <c r="AM105" s="20">
        <f>+AN105-AL105</f>
        <v>18225</v>
      </c>
      <c r="AN105" s="247">
        <v>53314</v>
      </c>
      <c r="AO105" s="20">
        <f>+AP105-AN105</f>
        <v>17638</v>
      </c>
      <c r="AP105" s="277">
        <v>70952</v>
      </c>
      <c r="AR105" s="253">
        <v>18497</v>
      </c>
      <c r="AS105" s="20">
        <f>+AT105-AR105</f>
        <v>17625</v>
      </c>
      <c r="AT105" s="247">
        <v>36122</v>
      </c>
      <c r="AU105" s="20">
        <f>+AV105-AT105</f>
        <v>17963</v>
      </c>
      <c r="AV105" s="247">
        <v>54085</v>
      </c>
      <c r="AW105" s="20">
        <f>+AX105-AV105</f>
        <v>16751</v>
      </c>
      <c r="AX105" s="277">
        <v>70836</v>
      </c>
      <c r="AZ105" s="253">
        <v>14872</v>
      </c>
      <c r="BA105" s="20">
        <f>+BB105-AZ105</f>
        <v>13811</v>
      </c>
      <c r="BB105" s="247">
        <v>28683</v>
      </c>
      <c r="BC105" s="20">
        <f>+BD105-BB105</f>
        <v>12890</v>
      </c>
      <c r="BD105" s="247">
        <v>41573</v>
      </c>
      <c r="BE105" s="20">
        <f>+BF105-BD105</f>
        <v>-41573</v>
      </c>
      <c r="BF105" s="277"/>
    </row>
    <row r="106" spans="2:58" ht="12.75">
      <c r="B106" s="307" t="s">
        <v>368</v>
      </c>
      <c r="D106" s="321">
        <f>+D102+D103+D104+D105</f>
        <v>13764</v>
      </c>
      <c r="E106" s="24">
        <f t="shared" si="84"/>
        <v>13370</v>
      </c>
      <c r="F106" s="24">
        <f>SUM(F102:F105)</f>
        <v>27134</v>
      </c>
      <c r="G106" s="24">
        <f t="shared" si="84"/>
        <v>14657</v>
      </c>
      <c r="H106" s="24">
        <f>SUM(H102:H105)</f>
        <v>41791</v>
      </c>
      <c r="I106" s="24">
        <f>+J106-H106</f>
        <v>14551</v>
      </c>
      <c r="J106" s="322">
        <f>SUM(J102:J105)</f>
        <v>56342</v>
      </c>
      <c r="K106" s="41"/>
      <c r="L106" s="187">
        <f>+L102+L103+L104+L105</f>
        <v>13764</v>
      </c>
      <c r="M106" s="25">
        <f aca="true" t="shared" si="85" ref="M106:R106">+M102+M103+M104+M105</f>
        <v>22821</v>
      </c>
      <c r="N106" s="25">
        <f t="shared" si="85"/>
        <v>36585</v>
      </c>
      <c r="O106" s="25">
        <f t="shared" si="85"/>
        <v>17528</v>
      </c>
      <c r="P106" s="25">
        <f t="shared" si="85"/>
        <v>54113</v>
      </c>
      <c r="Q106" s="25">
        <f t="shared" si="85"/>
        <v>19702</v>
      </c>
      <c r="R106" s="323">
        <f t="shared" si="85"/>
        <v>73815</v>
      </c>
      <c r="S106" s="161"/>
      <c r="T106" s="187">
        <f>+T102+T103+T104+T105</f>
        <v>15029</v>
      </c>
      <c r="U106" s="25">
        <f aca="true" t="shared" si="86" ref="U106:Z106">+U102+U103+U104+U105</f>
        <v>30010</v>
      </c>
      <c r="V106" s="25">
        <f t="shared" si="86"/>
        <v>45039</v>
      </c>
      <c r="W106" s="25">
        <f t="shared" si="86"/>
        <v>26394</v>
      </c>
      <c r="X106" s="25">
        <f t="shared" si="86"/>
        <v>71433</v>
      </c>
      <c r="Y106" s="25">
        <f t="shared" si="86"/>
        <v>24747</v>
      </c>
      <c r="Z106" s="323">
        <f t="shared" si="86"/>
        <v>96180</v>
      </c>
      <c r="AA106" s="161"/>
      <c r="AB106" s="187">
        <f>+AB102+AB103+AB104+AB105</f>
        <v>22298</v>
      </c>
      <c r="AC106" s="25">
        <f aca="true" t="shared" si="87" ref="AC106:AH106">+AC102+AC103+AC104+AC105</f>
        <v>22741</v>
      </c>
      <c r="AD106" s="25">
        <f t="shared" si="87"/>
        <v>45039</v>
      </c>
      <c r="AE106" s="25">
        <f t="shared" si="87"/>
        <v>26394</v>
      </c>
      <c r="AF106" s="25">
        <f t="shared" si="87"/>
        <v>71433</v>
      </c>
      <c r="AG106" s="25">
        <f t="shared" si="87"/>
        <v>24098</v>
      </c>
      <c r="AH106" s="323">
        <f t="shared" si="87"/>
        <v>95531</v>
      </c>
      <c r="AI106" s="161"/>
      <c r="AJ106" s="187">
        <f>+AJ102+AJ103+AJ104+AJ105</f>
        <v>22096</v>
      </c>
      <c r="AK106" s="25">
        <f aca="true" t="shared" si="88" ref="AK106:AP106">+AK102+AK103+AK104+AK105</f>
        <v>21962</v>
      </c>
      <c r="AL106" s="25">
        <f t="shared" si="88"/>
        <v>44058</v>
      </c>
      <c r="AM106" s="25">
        <f t="shared" si="88"/>
        <v>23595</v>
      </c>
      <c r="AN106" s="25">
        <f t="shared" si="88"/>
        <v>67653</v>
      </c>
      <c r="AO106" s="25">
        <f t="shared" si="88"/>
        <v>21780</v>
      </c>
      <c r="AP106" s="323">
        <f t="shared" si="88"/>
        <v>89433</v>
      </c>
      <c r="AQ106" s="161"/>
      <c r="AR106" s="187">
        <f>+AR102+AR103+AR104+AR105</f>
        <v>23088</v>
      </c>
      <c r="AS106" s="25">
        <f aca="true" t="shared" si="89" ref="AS106:AX106">+AS102+AS103+AS104+AS105</f>
        <v>22113</v>
      </c>
      <c r="AT106" s="25">
        <f t="shared" si="89"/>
        <v>45201</v>
      </c>
      <c r="AU106" s="25">
        <f t="shared" si="89"/>
        <v>23340</v>
      </c>
      <c r="AV106" s="25">
        <f t="shared" si="89"/>
        <v>68541</v>
      </c>
      <c r="AW106" s="25">
        <f t="shared" si="89"/>
        <v>22653</v>
      </c>
      <c r="AX106" s="323">
        <f t="shared" si="89"/>
        <v>91194</v>
      </c>
      <c r="AZ106" s="187">
        <f>+SUM(AZ102:AZ105)</f>
        <v>20215</v>
      </c>
      <c r="BA106" s="25">
        <f aca="true" t="shared" si="90" ref="BA106:BF106">+BA102+BA103+BA104+BA105</f>
        <v>18466</v>
      </c>
      <c r="BB106" s="25">
        <f t="shared" si="90"/>
        <v>38681</v>
      </c>
      <c r="BC106" s="25">
        <f t="shared" si="90"/>
        <v>17909</v>
      </c>
      <c r="BD106" s="25">
        <f t="shared" si="90"/>
        <v>56590</v>
      </c>
      <c r="BE106" s="25">
        <f t="shared" si="90"/>
        <v>-56590</v>
      </c>
      <c r="BF106" s="323">
        <f t="shared" si="90"/>
        <v>0</v>
      </c>
    </row>
    <row r="107" spans="2:58" ht="12.75">
      <c r="B107" s="178"/>
      <c r="D107" s="115"/>
      <c r="F107" s="41"/>
      <c r="H107" s="41"/>
      <c r="I107" s="20"/>
      <c r="J107" s="94"/>
      <c r="L107" s="115"/>
      <c r="N107" s="41"/>
      <c r="P107" s="41"/>
      <c r="Q107" s="20"/>
      <c r="R107" s="94"/>
      <c r="T107" s="115"/>
      <c r="V107" s="41"/>
      <c r="X107" s="41"/>
      <c r="Y107" s="20"/>
      <c r="Z107" s="94"/>
      <c r="AB107" s="115"/>
      <c r="AD107" s="41"/>
      <c r="AF107" s="41"/>
      <c r="AG107" s="20"/>
      <c r="AH107" s="94"/>
      <c r="AJ107" s="115"/>
      <c r="AL107" s="41"/>
      <c r="AN107" s="41"/>
      <c r="AO107" s="20"/>
      <c r="AP107" s="94"/>
      <c r="AR107" s="115"/>
      <c r="AT107" s="41"/>
      <c r="AV107" s="41"/>
      <c r="AW107" s="20"/>
      <c r="AX107" s="94"/>
      <c r="AZ107" s="115"/>
      <c r="BB107" s="41"/>
      <c r="BD107" s="26"/>
      <c r="BE107" s="20"/>
      <c r="BF107" s="94"/>
    </row>
    <row r="108" spans="2:58" ht="12.75">
      <c r="B108" s="151" t="s">
        <v>143</v>
      </c>
      <c r="D108" s="115"/>
      <c r="E108" s="183"/>
      <c r="F108" s="41"/>
      <c r="G108" s="183"/>
      <c r="H108" s="41"/>
      <c r="I108" s="20"/>
      <c r="J108" s="94"/>
      <c r="L108" s="115"/>
      <c r="M108" s="183"/>
      <c r="N108" s="41"/>
      <c r="O108" s="183"/>
      <c r="P108" s="41"/>
      <c r="Q108" s="20"/>
      <c r="R108" s="94"/>
      <c r="T108" s="115"/>
      <c r="U108" s="183"/>
      <c r="V108" s="41"/>
      <c r="W108" s="183"/>
      <c r="X108" s="41"/>
      <c r="Y108" s="20"/>
      <c r="Z108" s="94"/>
      <c r="AB108" s="115"/>
      <c r="AC108" s="183"/>
      <c r="AD108" s="41"/>
      <c r="AE108" s="183"/>
      <c r="AF108" s="41"/>
      <c r="AG108" s="20"/>
      <c r="AH108" s="94"/>
      <c r="AJ108" s="115"/>
      <c r="AK108" s="183"/>
      <c r="AL108" s="41"/>
      <c r="AM108" s="183"/>
      <c r="AN108" s="41"/>
      <c r="AO108" s="20"/>
      <c r="AP108" s="94"/>
      <c r="AR108" s="115"/>
      <c r="AS108" s="183"/>
      <c r="AT108" s="41"/>
      <c r="AU108" s="183"/>
      <c r="AV108" s="41"/>
      <c r="AW108" s="20"/>
      <c r="AX108" s="94"/>
      <c r="AZ108" s="115"/>
      <c r="BA108" s="183"/>
      <c r="BB108" s="41"/>
      <c r="BC108" s="183"/>
      <c r="BD108" s="26"/>
      <c r="BE108" s="20"/>
      <c r="BF108" s="94"/>
    </row>
    <row r="109" spans="2:58" s="60" customFormat="1" ht="11.25" customHeight="1">
      <c r="B109" s="315" t="s">
        <v>401</v>
      </c>
      <c r="D109" s="250">
        <v>4608</v>
      </c>
      <c r="E109" s="41">
        <f aca="true" t="shared" si="91" ref="E109:I110">+F109-D109</f>
        <v>4630</v>
      </c>
      <c r="F109" s="245">
        <v>9238</v>
      </c>
      <c r="G109" s="20">
        <f t="shared" si="91"/>
        <v>4909</v>
      </c>
      <c r="H109" s="245">
        <v>14147</v>
      </c>
      <c r="I109" s="20">
        <f t="shared" si="91"/>
        <v>5002</v>
      </c>
      <c r="J109" s="272">
        <v>19149</v>
      </c>
      <c r="L109" s="250">
        <v>4608</v>
      </c>
      <c r="M109" s="41">
        <f>+N109-L109</f>
        <v>4779</v>
      </c>
      <c r="N109" s="245">
        <v>9387</v>
      </c>
      <c r="O109" s="20">
        <f>+P109-N109</f>
        <v>4760</v>
      </c>
      <c r="P109" s="245">
        <v>14147</v>
      </c>
      <c r="Q109" s="20">
        <f>+R109-P109</f>
        <v>5002</v>
      </c>
      <c r="R109" s="272">
        <v>19149</v>
      </c>
      <c r="T109" s="250">
        <v>5210</v>
      </c>
      <c r="U109" s="41">
        <f>+V109-T109</f>
        <v>5142</v>
      </c>
      <c r="V109" s="245">
        <v>10352</v>
      </c>
      <c r="W109" s="20">
        <f>+X109-V109</f>
        <v>5100</v>
      </c>
      <c r="X109" s="245">
        <v>15452</v>
      </c>
      <c r="Y109" s="20">
        <f>+Z109-X109</f>
        <v>4957</v>
      </c>
      <c r="Z109" s="272">
        <v>20409</v>
      </c>
      <c r="AB109" s="250">
        <v>5210</v>
      </c>
      <c r="AC109" s="41">
        <f>+AD109-AB109</f>
        <v>5142</v>
      </c>
      <c r="AD109" s="245">
        <v>10352</v>
      </c>
      <c r="AE109" s="20">
        <f>+AF109-AD109</f>
        <v>5100</v>
      </c>
      <c r="AF109" s="245">
        <v>15452</v>
      </c>
      <c r="AG109" s="20">
        <f>+AH109-AF109</f>
        <v>4957</v>
      </c>
      <c r="AH109" s="272">
        <v>20409</v>
      </c>
      <c r="AJ109" s="250">
        <v>4757</v>
      </c>
      <c r="AK109" s="41">
        <f>+AL109-AJ109</f>
        <v>4316</v>
      </c>
      <c r="AL109" s="245">
        <v>9073</v>
      </c>
      <c r="AM109" s="20">
        <f>+AN109-AL109</f>
        <v>4203</v>
      </c>
      <c r="AN109" s="245">
        <v>13276</v>
      </c>
      <c r="AO109" s="20">
        <f>+AP109-AN109</f>
        <v>3832</v>
      </c>
      <c r="AP109" s="272">
        <v>17108</v>
      </c>
      <c r="AR109" s="250">
        <v>3041</v>
      </c>
      <c r="AS109" s="41">
        <f>+AT109-AR109</f>
        <v>2881</v>
      </c>
      <c r="AT109" s="245">
        <v>5922</v>
      </c>
      <c r="AU109" s="20">
        <f>+AV109-AT109</f>
        <v>2878</v>
      </c>
      <c r="AV109" s="245">
        <v>8800</v>
      </c>
      <c r="AW109" s="20">
        <f>+AX109-AV109</f>
        <v>2782</v>
      </c>
      <c r="AX109" s="272">
        <v>11582</v>
      </c>
      <c r="AZ109" s="250">
        <v>2606</v>
      </c>
      <c r="BA109" s="41">
        <f>+BB109-AZ109</f>
        <v>2554</v>
      </c>
      <c r="BB109" s="245">
        <v>5160</v>
      </c>
      <c r="BC109" s="20">
        <f>+BD109-BB109</f>
        <v>2837</v>
      </c>
      <c r="BD109" s="245">
        <v>7997</v>
      </c>
      <c r="BE109" s="20">
        <f>+BF109-BD109</f>
        <v>-7997</v>
      </c>
      <c r="BF109" s="272"/>
    </row>
    <row r="110" spans="2:58" s="60" customFormat="1" ht="15" customHeight="1">
      <c r="B110" s="174" t="s">
        <v>113</v>
      </c>
      <c r="D110" s="250">
        <f>2602+115+236+875+5328</f>
        <v>9156</v>
      </c>
      <c r="E110" s="41">
        <f t="shared" si="91"/>
        <v>8740</v>
      </c>
      <c r="F110" s="245">
        <f>4997+155+473+1373+10898</f>
        <v>17896</v>
      </c>
      <c r="G110" s="20">
        <f t="shared" si="91"/>
        <v>9748</v>
      </c>
      <c r="H110" s="245">
        <f>7993+179+696+2281+16495</f>
        <v>27644</v>
      </c>
      <c r="I110" s="20">
        <f t="shared" si="91"/>
        <v>9549</v>
      </c>
      <c r="J110" s="272">
        <f>10691+215+921+3099+22267</f>
        <v>37193</v>
      </c>
      <c r="L110" s="250">
        <f>2602+115+236+875+5328</f>
        <v>9156</v>
      </c>
      <c r="M110" s="41">
        <f>+N110-L110</f>
        <v>18042</v>
      </c>
      <c r="N110" s="245">
        <v>27198</v>
      </c>
      <c r="O110" s="20">
        <f>+P110-N110</f>
        <v>12768</v>
      </c>
      <c r="P110" s="245">
        <v>39966</v>
      </c>
      <c r="Q110" s="20">
        <f>+R110-P110</f>
        <v>14700</v>
      </c>
      <c r="R110" s="272">
        <v>54666</v>
      </c>
      <c r="T110" s="250">
        <f>2724+52+238+531+6274</f>
        <v>9819</v>
      </c>
      <c r="U110" s="41">
        <f>+V110-T110</f>
        <v>24868</v>
      </c>
      <c r="V110" s="245">
        <v>34687</v>
      </c>
      <c r="W110" s="20">
        <f>+X110-V110</f>
        <v>21294</v>
      </c>
      <c r="X110" s="245">
        <v>55981</v>
      </c>
      <c r="Y110" s="20">
        <f>+Z110-X110</f>
        <v>19790</v>
      </c>
      <c r="Z110" s="272">
        <v>75771</v>
      </c>
      <c r="AB110" s="250">
        <v>17088</v>
      </c>
      <c r="AC110" s="41">
        <f>+AD110-AB110</f>
        <v>17599</v>
      </c>
      <c r="AD110" s="245">
        <v>34687</v>
      </c>
      <c r="AE110" s="20">
        <f>+AF110-AD110</f>
        <v>21294</v>
      </c>
      <c r="AF110" s="245">
        <v>55981</v>
      </c>
      <c r="AG110" s="20">
        <f>+AH110-AF110</f>
        <v>19141</v>
      </c>
      <c r="AH110" s="272">
        <v>75122</v>
      </c>
      <c r="AJ110" s="250">
        <v>17339</v>
      </c>
      <c r="AK110" s="41">
        <f>+AL110-AJ110</f>
        <v>17646</v>
      </c>
      <c r="AL110" s="245">
        <v>34985</v>
      </c>
      <c r="AM110" s="20">
        <f>+AN110-AL110</f>
        <v>19392</v>
      </c>
      <c r="AN110" s="245">
        <v>54377</v>
      </c>
      <c r="AO110" s="20">
        <f>+AP110-AN110</f>
        <v>17948</v>
      </c>
      <c r="AP110" s="272">
        <v>72325</v>
      </c>
      <c r="AR110" s="250">
        <v>20046</v>
      </c>
      <c r="AS110" s="41">
        <f>+AT110-AR110</f>
        <v>19233</v>
      </c>
      <c r="AT110" s="245">
        <v>39279</v>
      </c>
      <c r="AU110" s="20">
        <f>+AV110-AT110</f>
        <v>20462</v>
      </c>
      <c r="AV110" s="245">
        <v>59741</v>
      </c>
      <c r="AW110" s="20">
        <f>+AX110-AV110</f>
        <v>19871</v>
      </c>
      <c r="AX110" s="272">
        <v>79612</v>
      </c>
      <c r="AZ110" s="250">
        <v>17609</v>
      </c>
      <c r="BA110" s="41">
        <f>+BB110-AZ110</f>
        <v>15912</v>
      </c>
      <c r="BB110" s="245">
        <v>33521</v>
      </c>
      <c r="BC110" s="20">
        <f>+BD110-BB110</f>
        <v>15072</v>
      </c>
      <c r="BD110" s="245">
        <v>48593</v>
      </c>
      <c r="BE110" s="20">
        <f>+BF110-BD110</f>
        <v>-48593</v>
      </c>
      <c r="BF110" s="272"/>
    </row>
    <row r="111" spans="2:58" ht="12.75">
      <c r="B111" s="349" t="s">
        <v>144</v>
      </c>
      <c r="D111" s="308">
        <f>+D109+D110</f>
        <v>13764</v>
      </c>
      <c r="E111" s="309">
        <f aca="true" t="shared" si="92" ref="E111:J111">+E109+E110</f>
        <v>13370</v>
      </c>
      <c r="F111" s="309">
        <f t="shared" si="92"/>
        <v>27134</v>
      </c>
      <c r="G111" s="309">
        <f t="shared" si="92"/>
        <v>14657</v>
      </c>
      <c r="H111" s="309">
        <f t="shared" si="92"/>
        <v>41791</v>
      </c>
      <c r="I111" s="309">
        <f t="shared" si="92"/>
        <v>14551</v>
      </c>
      <c r="J111" s="310">
        <f t="shared" si="92"/>
        <v>56342</v>
      </c>
      <c r="L111" s="308">
        <f>+L109+L110</f>
        <v>13764</v>
      </c>
      <c r="M111" s="309">
        <f aca="true" t="shared" si="93" ref="M111:R111">+M109+M110</f>
        <v>22821</v>
      </c>
      <c r="N111" s="309">
        <f t="shared" si="93"/>
        <v>36585</v>
      </c>
      <c r="O111" s="309">
        <f t="shared" si="93"/>
        <v>17528</v>
      </c>
      <c r="P111" s="309">
        <f t="shared" si="93"/>
        <v>54113</v>
      </c>
      <c r="Q111" s="309">
        <f t="shared" si="93"/>
        <v>19702</v>
      </c>
      <c r="R111" s="310">
        <f t="shared" si="93"/>
        <v>73815</v>
      </c>
      <c r="T111" s="308">
        <f>+T109+T110</f>
        <v>15029</v>
      </c>
      <c r="U111" s="309">
        <f aca="true" t="shared" si="94" ref="U111:Z111">+U109+U110</f>
        <v>30010</v>
      </c>
      <c r="V111" s="309">
        <f t="shared" si="94"/>
        <v>45039</v>
      </c>
      <c r="W111" s="309">
        <f t="shared" si="94"/>
        <v>26394</v>
      </c>
      <c r="X111" s="309">
        <f t="shared" si="94"/>
        <v>71433</v>
      </c>
      <c r="Y111" s="309">
        <f t="shared" si="94"/>
        <v>24747</v>
      </c>
      <c r="Z111" s="310">
        <f t="shared" si="94"/>
        <v>96180</v>
      </c>
      <c r="AB111" s="308">
        <f>+AB109+AB110</f>
        <v>22298</v>
      </c>
      <c r="AC111" s="309">
        <f aca="true" t="shared" si="95" ref="AC111:AH111">+AC109+AC110</f>
        <v>22741</v>
      </c>
      <c r="AD111" s="309">
        <f t="shared" si="95"/>
        <v>45039</v>
      </c>
      <c r="AE111" s="309">
        <f t="shared" si="95"/>
        <v>26394</v>
      </c>
      <c r="AF111" s="309">
        <f t="shared" si="95"/>
        <v>71433</v>
      </c>
      <c r="AG111" s="309">
        <f t="shared" si="95"/>
        <v>24098</v>
      </c>
      <c r="AH111" s="310">
        <f t="shared" si="95"/>
        <v>95531</v>
      </c>
      <c r="AJ111" s="308">
        <f>+AJ109+AJ110</f>
        <v>22096</v>
      </c>
      <c r="AK111" s="309">
        <f aca="true" t="shared" si="96" ref="AK111:AP111">+AK109+AK110</f>
        <v>21962</v>
      </c>
      <c r="AL111" s="309">
        <f t="shared" si="96"/>
        <v>44058</v>
      </c>
      <c r="AM111" s="309">
        <f t="shared" si="96"/>
        <v>23595</v>
      </c>
      <c r="AN111" s="309">
        <f t="shared" si="96"/>
        <v>67653</v>
      </c>
      <c r="AO111" s="309">
        <f t="shared" si="96"/>
        <v>21780</v>
      </c>
      <c r="AP111" s="310">
        <f t="shared" si="96"/>
        <v>89433</v>
      </c>
      <c r="AR111" s="308">
        <f>+AR109+AR110</f>
        <v>23087</v>
      </c>
      <c r="AS111" s="309">
        <f aca="true" t="shared" si="97" ref="AS111:AX111">+AS109+AS110</f>
        <v>22114</v>
      </c>
      <c r="AT111" s="309">
        <f t="shared" si="97"/>
        <v>45201</v>
      </c>
      <c r="AU111" s="309">
        <f t="shared" si="97"/>
        <v>23340</v>
      </c>
      <c r="AV111" s="309">
        <f t="shared" si="97"/>
        <v>68541</v>
      </c>
      <c r="AW111" s="309">
        <f t="shared" si="97"/>
        <v>22653</v>
      </c>
      <c r="AX111" s="310">
        <f t="shared" si="97"/>
        <v>91194</v>
      </c>
      <c r="AZ111" s="308">
        <f>+AZ109+AZ110</f>
        <v>20215</v>
      </c>
      <c r="BA111" s="309">
        <f aca="true" t="shared" si="98" ref="BA111:BF111">+BA109+BA110</f>
        <v>18466</v>
      </c>
      <c r="BB111" s="309">
        <f t="shared" si="98"/>
        <v>38681</v>
      </c>
      <c r="BC111" s="309">
        <f t="shared" si="98"/>
        <v>17909</v>
      </c>
      <c r="BD111" s="840">
        <f t="shared" si="98"/>
        <v>56590</v>
      </c>
      <c r="BE111" s="309">
        <f t="shared" si="98"/>
        <v>-56590</v>
      </c>
      <c r="BF111" s="310">
        <f t="shared" si="98"/>
        <v>0</v>
      </c>
    </row>
    <row r="112" spans="2:58" ht="12.75">
      <c r="B112" s="328"/>
      <c r="D112" s="58"/>
      <c r="E112" s="58"/>
      <c r="F112" s="58"/>
      <c r="G112" s="58"/>
      <c r="H112" s="58"/>
      <c r="I112" s="58"/>
      <c r="J112" s="58"/>
      <c r="L112" s="58"/>
      <c r="M112" s="58"/>
      <c r="N112" s="58"/>
      <c r="O112" s="58"/>
      <c r="P112" s="58"/>
      <c r="Q112" s="58"/>
      <c r="R112" s="58"/>
      <c r="T112" s="58"/>
      <c r="U112" s="58"/>
      <c r="V112" s="58"/>
      <c r="W112" s="58"/>
      <c r="X112" s="58"/>
      <c r="Y112" s="58"/>
      <c r="Z112" s="58"/>
      <c r="AB112" s="58"/>
      <c r="AC112" s="58"/>
      <c r="AD112" s="58"/>
      <c r="AE112" s="58"/>
      <c r="AF112" s="58"/>
      <c r="AG112" s="58"/>
      <c r="AH112" s="58"/>
      <c r="AJ112" s="58"/>
      <c r="AK112" s="58"/>
      <c r="AL112" s="58"/>
      <c r="AM112" s="58"/>
      <c r="AN112" s="58"/>
      <c r="AO112" s="58"/>
      <c r="AP112" s="58"/>
      <c r="AR112" s="58"/>
      <c r="AS112" s="58"/>
      <c r="AT112" s="58"/>
      <c r="AU112" s="58"/>
      <c r="AV112" s="58"/>
      <c r="AW112" s="58"/>
      <c r="AX112" s="58"/>
      <c r="AZ112" s="58"/>
      <c r="BA112" s="58"/>
      <c r="BB112" s="58"/>
      <c r="BC112" s="58"/>
      <c r="BD112" s="25"/>
      <c r="BE112" s="58"/>
      <c r="BF112" s="58"/>
    </row>
    <row r="113" spans="4:56" s="51" customFormat="1" ht="12.75">
      <c r="D113" s="183"/>
      <c r="E113" s="183"/>
      <c r="F113" s="183"/>
      <c r="G113" s="183"/>
      <c r="H113" s="183"/>
      <c r="I113" s="183"/>
      <c r="J113" s="183"/>
      <c r="BD113" s="183"/>
    </row>
    <row r="114" spans="2:58" s="53" customFormat="1" ht="17.25" customHeight="1">
      <c r="B114" s="148" t="s">
        <v>223</v>
      </c>
      <c r="D114" s="451" t="s">
        <v>232</v>
      </c>
      <c r="E114" s="452" t="s">
        <v>233</v>
      </c>
      <c r="F114" s="452" t="s">
        <v>234</v>
      </c>
      <c r="G114" s="452" t="s">
        <v>235</v>
      </c>
      <c r="H114" s="452" t="s">
        <v>236</v>
      </c>
      <c r="I114" s="452" t="s">
        <v>237</v>
      </c>
      <c r="J114" s="453" t="s">
        <v>238</v>
      </c>
      <c r="L114" s="451" t="s">
        <v>232</v>
      </c>
      <c r="M114" s="452" t="s">
        <v>233</v>
      </c>
      <c r="N114" s="452" t="s">
        <v>234</v>
      </c>
      <c r="O114" s="452" t="s">
        <v>235</v>
      </c>
      <c r="P114" s="452" t="s">
        <v>236</v>
      </c>
      <c r="Q114" s="452" t="s">
        <v>237</v>
      </c>
      <c r="R114" s="453" t="s">
        <v>238</v>
      </c>
      <c r="T114" s="451" t="s">
        <v>247</v>
      </c>
      <c r="U114" s="452" t="s">
        <v>248</v>
      </c>
      <c r="V114" s="452" t="s">
        <v>249</v>
      </c>
      <c r="W114" s="452" t="s">
        <v>250</v>
      </c>
      <c r="X114" s="452" t="s">
        <v>251</v>
      </c>
      <c r="Y114" s="452" t="s">
        <v>252</v>
      </c>
      <c r="Z114" s="453" t="s">
        <v>253</v>
      </c>
      <c r="AB114" s="451" t="str">
        <f aca="true" t="shared" si="99" ref="AB114:AH114">+AB4</f>
        <v>IQ 2014</v>
      </c>
      <c r="AC114" s="452" t="str">
        <f t="shared" si="99"/>
        <v>IIQ 2014</v>
      </c>
      <c r="AD114" s="452" t="str">
        <f t="shared" si="99"/>
        <v>IH 2014</v>
      </c>
      <c r="AE114" s="452" t="str">
        <f t="shared" si="99"/>
        <v>III Q 2014</v>
      </c>
      <c r="AF114" s="452" t="str">
        <f t="shared" si="99"/>
        <v>9M 2014</v>
      </c>
      <c r="AG114" s="452" t="str">
        <f t="shared" si="99"/>
        <v>IV Q 2014</v>
      </c>
      <c r="AH114" s="453" t="str">
        <f t="shared" si="99"/>
        <v>FY 2014</v>
      </c>
      <c r="AJ114" s="451" t="str">
        <f aca="true" t="shared" si="100" ref="AJ114:AP114">+AJ4</f>
        <v>IQ 2015</v>
      </c>
      <c r="AK114" s="452" t="str">
        <f t="shared" si="100"/>
        <v>IIQ 2015</v>
      </c>
      <c r="AL114" s="452" t="str">
        <f t="shared" si="100"/>
        <v>IH 2015</v>
      </c>
      <c r="AM114" s="452" t="str">
        <f t="shared" si="100"/>
        <v>III Q 2015</v>
      </c>
      <c r="AN114" s="452" t="str">
        <f t="shared" si="100"/>
        <v>9M 2015</v>
      </c>
      <c r="AO114" s="452" t="str">
        <f t="shared" si="100"/>
        <v>IV Q 2015</v>
      </c>
      <c r="AP114" s="453" t="str">
        <f t="shared" si="100"/>
        <v>FY 2015</v>
      </c>
      <c r="AR114" s="451" t="s">
        <v>295</v>
      </c>
      <c r="AS114" s="452" t="s">
        <v>296</v>
      </c>
      <c r="AT114" s="452" t="s">
        <v>297</v>
      </c>
      <c r="AU114" s="452" t="s">
        <v>298</v>
      </c>
      <c r="AV114" s="452" t="s">
        <v>299</v>
      </c>
      <c r="AW114" s="452" t="s">
        <v>300</v>
      </c>
      <c r="AX114" s="453" t="s">
        <v>371</v>
      </c>
      <c r="AZ114" s="451" t="str">
        <f>+AZ99</f>
        <v>IQ 2017</v>
      </c>
      <c r="BA114" s="451" t="str">
        <f aca="true" t="shared" si="101" ref="BA114:BF114">+BA99</f>
        <v>IIQ 2017</v>
      </c>
      <c r="BB114" s="451" t="str">
        <f t="shared" si="101"/>
        <v>IH 2017 (5) </v>
      </c>
      <c r="BC114" s="451" t="str">
        <f t="shared" si="101"/>
        <v>III Q 2017</v>
      </c>
      <c r="BD114" s="451" t="str">
        <f t="shared" si="101"/>
        <v>9M 2017</v>
      </c>
      <c r="BE114" s="451" t="str">
        <f t="shared" si="101"/>
        <v>IV Q 2017</v>
      </c>
      <c r="BF114" s="451" t="str">
        <f t="shared" si="101"/>
        <v>FY 2017 (1)</v>
      </c>
    </row>
    <row r="115" spans="2:58" ht="12.75">
      <c r="B115" s="173"/>
      <c r="D115" s="97"/>
      <c r="E115" s="183"/>
      <c r="F115" s="183"/>
      <c r="G115" s="183"/>
      <c r="H115" s="183"/>
      <c r="I115" s="183"/>
      <c r="J115" s="114"/>
      <c r="L115" s="115"/>
      <c r="Q115" s="59"/>
      <c r="R115" s="104"/>
      <c r="T115" s="115"/>
      <c r="Z115" s="104"/>
      <c r="AB115" s="115"/>
      <c r="AH115" s="104"/>
      <c r="AJ115" s="115"/>
      <c r="AP115" s="104"/>
      <c r="AR115" s="206"/>
      <c r="AS115" s="207"/>
      <c r="AT115" s="207"/>
      <c r="AU115" s="207"/>
      <c r="AV115" s="207"/>
      <c r="AW115" s="207"/>
      <c r="AX115" s="208"/>
      <c r="AZ115" s="206"/>
      <c r="BA115" s="207"/>
      <c r="BB115" s="207"/>
      <c r="BC115" s="207"/>
      <c r="BD115" s="837"/>
      <c r="BE115" s="207"/>
      <c r="BF115" s="208"/>
    </row>
    <row r="116" spans="2:58" ht="15" customHeight="1">
      <c r="B116" s="348" t="s">
        <v>526</v>
      </c>
      <c r="D116" s="97"/>
      <c r="E116" s="183"/>
      <c r="F116" s="183"/>
      <c r="G116" s="183"/>
      <c r="H116" s="183"/>
      <c r="I116" s="183"/>
      <c r="J116" s="114"/>
      <c r="L116" s="115"/>
      <c r="Q116" s="59"/>
      <c r="R116" s="104"/>
      <c r="T116" s="115"/>
      <c r="Z116" s="104"/>
      <c r="AB116" s="115"/>
      <c r="AH116" s="104"/>
      <c r="AJ116" s="115"/>
      <c r="AP116" s="104"/>
      <c r="AR116" s="115"/>
      <c r="AX116" s="104"/>
      <c r="AZ116" s="115"/>
      <c r="BD116" s="183"/>
      <c r="BF116" s="104"/>
    </row>
    <row r="117" spans="2:58" ht="15.75" customHeight="1">
      <c r="B117" s="189" t="s">
        <v>527</v>
      </c>
      <c r="D117" s="253">
        <v>122</v>
      </c>
      <c r="E117" s="20">
        <f>+F117-D117</f>
        <v>108</v>
      </c>
      <c r="F117" s="247">
        <v>230</v>
      </c>
      <c r="G117" s="20">
        <f>+H117-F117</f>
        <v>93</v>
      </c>
      <c r="H117" s="247">
        <v>323</v>
      </c>
      <c r="I117" s="20">
        <f>+J117-H117</f>
        <v>87</v>
      </c>
      <c r="J117" s="277">
        <v>410</v>
      </c>
      <c r="L117" s="253">
        <v>122</v>
      </c>
      <c r="M117" s="20">
        <f>+N117-L117</f>
        <v>108</v>
      </c>
      <c r="N117" s="247">
        <v>230</v>
      </c>
      <c r="O117" s="20">
        <f>+P117-N117</f>
        <v>93</v>
      </c>
      <c r="P117" s="247">
        <v>323</v>
      </c>
      <c r="Q117" s="20">
        <f>+R117-P117</f>
        <v>87</v>
      </c>
      <c r="R117" s="277">
        <v>410</v>
      </c>
      <c r="T117" s="253">
        <v>81</v>
      </c>
      <c r="U117" s="20">
        <f>+V117-T117</f>
        <v>86</v>
      </c>
      <c r="V117" s="247">
        <v>167</v>
      </c>
      <c r="W117" s="20">
        <f>+X117-V117</f>
        <v>118</v>
      </c>
      <c r="X117" s="247">
        <v>285</v>
      </c>
      <c r="Y117" s="20">
        <f>+Z117-X117</f>
        <v>132</v>
      </c>
      <c r="Z117" s="277">
        <v>417</v>
      </c>
      <c r="AB117" s="253">
        <v>81</v>
      </c>
      <c r="AC117" s="20">
        <f>+AD117-AB117</f>
        <v>86</v>
      </c>
      <c r="AD117" s="247">
        <v>167</v>
      </c>
      <c r="AE117" s="20">
        <f>+AF117-AD117</f>
        <v>118</v>
      </c>
      <c r="AF117" s="247">
        <v>285</v>
      </c>
      <c r="AG117" s="20">
        <f>+AH117-AF117</f>
        <v>132</v>
      </c>
      <c r="AH117" s="277">
        <v>417</v>
      </c>
      <c r="AJ117" s="253">
        <v>128</v>
      </c>
      <c r="AK117" s="20">
        <f>+AL117-AJ117</f>
        <v>125</v>
      </c>
      <c r="AL117" s="247">
        <v>253</v>
      </c>
      <c r="AM117" s="20">
        <f>+AN117-AL117</f>
        <v>120</v>
      </c>
      <c r="AN117" s="247">
        <v>373</v>
      </c>
      <c r="AO117" s="20">
        <f>+AP117-AN117</f>
        <v>112</v>
      </c>
      <c r="AP117" s="277">
        <v>485</v>
      </c>
      <c r="AR117" s="253">
        <v>111</v>
      </c>
      <c r="AS117" s="20">
        <f>+AT117-AR117</f>
        <v>130</v>
      </c>
      <c r="AT117" s="247">
        <v>241</v>
      </c>
      <c r="AU117" s="20">
        <f>+AV117-AT117</f>
        <v>143</v>
      </c>
      <c r="AV117" s="247">
        <v>384</v>
      </c>
      <c r="AW117" s="20">
        <f>+AX117-AV117</f>
        <v>137</v>
      </c>
      <c r="AX117" s="277">
        <v>521</v>
      </c>
      <c r="AZ117" s="253">
        <v>114</v>
      </c>
      <c r="BA117" s="20">
        <f>+BB117-AZ117</f>
        <v>113</v>
      </c>
      <c r="BB117" s="247">
        <v>227</v>
      </c>
      <c r="BC117" s="20">
        <f>+BD117-BB117</f>
        <v>110</v>
      </c>
      <c r="BD117" s="247">
        <v>337</v>
      </c>
      <c r="BE117" s="20">
        <f aca="true" t="shared" si="102" ref="BE117:BE122">+BF117-BD117</f>
        <v>-337</v>
      </c>
      <c r="BF117" s="277"/>
    </row>
    <row r="118" spans="2:58" ht="12.75">
      <c r="B118" s="189" t="s">
        <v>231</v>
      </c>
      <c r="D118" s="253">
        <v>3518</v>
      </c>
      <c r="E118" s="20">
        <f>+F118-D118</f>
        <v>3033</v>
      </c>
      <c r="F118" s="247">
        <v>6551</v>
      </c>
      <c r="G118" s="20">
        <f>+H118-F118</f>
        <v>3070</v>
      </c>
      <c r="H118" s="247">
        <v>9621</v>
      </c>
      <c r="I118" s="26">
        <f>+J118-H118</f>
        <v>2891</v>
      </c>
      <c r="J118" s="277">
        <v>12512</v>
      </c>
      <c r="L118" s="253">
        <v>3518</v>
      </c>
      <c r="M118" s="20">
        <f>+N118-L118</f>
        <v>3033</v>
      </c>
      <c r="N118" s="247">
        <v>6551</v>
      </c>
      <c r="O118" s="20">
        <f>+P118-N118</f>
        <v>3070</v>
      </c>
      <c r="P118" s="247">
        <v>9621</v>
      </c>
      <c r="Q118" s="26">
        <f>+R118-P118</f>
        <v>2891</v>
      </c>
      <c r="R118" s="277">
        <v>12512</v>
      </c>
      <c r="T118" s="253">
        <v>2718</v>
      </c>
      <c r="U118" s="20">
        <f>+V118-T118</f>
        <v>2209</v>
      </c>
      <c r="V118" s="247">
        <v>4927</v>
      </c>
      <c r="W118" s="20">
        <f>+X118-V118</f>
        <v>2182</v>
      </c>
      <c r="X118" s="247">
        <v>7109</v>
      </c>
      <c r="Y118" s="26">
        <f>+Z118-X118</f>
        <v>2806</v>
      </c>
      <c r="Z118" s="277">
        <v>9915</v>
      </c>
      <c r="AB118" s="253">
        <v>2718</v>
      </c>
      <c r="AC118" s="20">
        <f>+AD118-AB118</f>
        <v>2209</v>
      </c>
      <c r="AD118" s="247">
        <v>4927</v>
      </c>
      <c r="AE118" s="20">
        <f>+AF118-AD118</f>
        <v>2182</v>
      </c>
      <c r="AF118" s="247">
        <v>7109</v>
      </c>
      <c r="AG118" s="26">
        <f>+AH118-AF118</f>
        <v>2806</v>
      </c>
      <c r="AH118" s="277">
        <v>9915</v>
      </c>
      <c r="AJ118" s="253">
        <v>3050</v>
      </c>
      <c r="AK118" s="20">
        <f>+AL118-AJ118</f>
        <v>3146</v>
      </c>
      <c r="AL118" s="247">
        <v>6196</v>
      </c>
      <c r="AM118" s="20">
        <f>+AN118-AL118</f>
        <v>3039</v>
      </c>
      <c r="AN118" s="247">
        <v>9235</v>
      </c>
      <c r="AO118" s="26">
        <f>+AP118-AN118</f>
        <v>3487</v>
      </c>
      <c r="AP118" s="277">
        <v>12722</v>
      </c>
      <c r="AR118" s="253">
        <v>3584</v>
      </c>
      <c r="AS118" s="20">
        <f>+AT118-AR118</f>
        <v>3725</v>
      </c>
      <c r="AT118" s="247">
        <v>7309</v>
      </c>
      <c r="AU118" s="20">
        <f>+AV118-AT118</f>
        <v>3516</v>
      </c>
      <c r="AV118" s="247">
        <v>10825</v>
      </c>
      <c r="AW118" s="26">
        <f aca="true" t="shared" si="103" ref="AW118:AW130">+AX118-AV118</f>
        <v>3790</v>
      </c>
      <c r="AX118" s="277">
        <v>14615</v>
      </c>
      <c r="AZ118" s="253">
        <v>3899</v>
      </c>
      <c r="BA118" s="20">
        <f>+BB118-AZ118</f>
        <v>3646</v>
      </c>
      <c r="BB118" s="247">
        <v>7545</v>
      </c>
      <c r="BC118" s="20">
        <f>+BD118-BB118</f>
        <v>3577</v>
      </c>
      <c r="BD118" s="247">
        <v>11122</v>
      </c>
      <c r="BE118" s="26">
        <f t="shared" si="102"/>
        <v>-11122</v>
      </c>
      <c r="BF118" s="277"/>
    </row>
    <row r="119" spans="2:58" ht="12.75">
      <c r="B119" s="189" t="s">
        <v>369</v>
      </c>
      <c r="D119" s="253">
        <v>595</v>
      </c>
      <c r="E119" s="20">
        <f>+F119-D119</f>
        <v>457</v>
      </c>
      <c r="F119" s="247">
        <v>1052</v>
      </c>
      <c r="G119" s="20">
        <f>+H119-F119</f>
        <v>941</v>
      </c>
      <c r="H119" s="247">
        <v>1993</v>
      </c>
      <c r="I119" s="26">
        <f>+J119-H119</f>
        <v>1085</v>
      </c>
      <c r="J119" s="277">
        <v>3078</v>
      </c>
      <c r="L119" s="253">
        <v>595</v>
      </c>
      <c r="M119" s="20">
        <f>+N119-L119</f>
        <v>457</v>
      </c>
      <c r="N119" s="247">
        <v>1052</v>
      </c>
      <c r="O119" s="20">
        <f>+P119-N119</f>
        <v>941</v>
      </c>
      <c r="P119" s="247">
        <v>1993</v>
      </c>
      <c r="Q119" s="26">
        <f>+R119-P119</f>
        <v>1085</v>
      </c>
      <c r="R119" s="277">
        <v>3078</v>
      </c>
      <c r="T119" s="253">
        <v>718</v>
      </c>
      <c r="U119" s="20">
        <f>+V119-T119</f>
        <v>552</v>
      </c>
      <c r="V119" s="247">
        <v>1270</v>
      </c>
      <c r="W119" s="20">
        <f>+X119-V119</f>
        <v>733</v>
      </c>
      <c r="X119" s="247">
        <v>2003</v>
      </c>
      <c r="Y119" s="26">
        <f>+Z119-X119</f>
        <v>736</v>
      </c>
      <c r="Z119" s="277">
        <v>2739</v>
      </c>
      <c r="AB119" s="253">
        <v>718</v>
      </c>
      <c r="AC119" s="20">
        <f>+AD119-AB119</f>
        <v>552</v>
      </c>
      <c r="AD119" s="247">
        <v>1270</v>
      </c>
      <c r="AE119" s="20">
        <f>+AF119-AD119</f>
        <v>733</v>
      </c>
      <c r="AF119" s="247">
        <v>2003</v>
      </c>
      <c r="AG119" s="26">
        <f>+AH119-AF119</f>
        <v>736</v>
      </c>
      <c r="AH119" s="277">
        <v>2739</v>
      </c>
      <c r="AJ119" s="253">
        <v>814</v>
      </c>
      <c r="AK119" s="20">
        <f>+AL119-AJ119</f>
        <v>441</v>
      </c>
      <c r="AL119" s="247">
        <v>1255</v>
      </c>
      <c r="AM119" s="20">
        <f>+AN119-AL119</f>
        <v>1100</v>
      </c>
      <c r="AN119" s="247">
        <v>2355</v>
      </c>
      <c r="AO119" s="26">
        <f>+AP119-AN119</f>
        <v>1817</v>
      </c>
      <c r="AP119" s="277">
        <v>4172</v>
      </c>
      <c r="AR119" s="253">
        <v>1617</v>
      </c>
      <c r="AS119" s="20">
        <f>+AT119-AR119</f>
        <v>1297</v>
      </c>
      <c r="AT119" s="247">
        <v>2914</v>
      </c>
      <c r="AU119" s="20">
        <f>+AV119-AT119</f>
        <v>1508</v>
      </c>
      <c r="AV119" s="247">
        <v>4422</v>
      </c>
      <c r="AW119" s="26">
        <f t="shared" si="103"/>
        <v>2323</v>
      </c>
      <c r="AX119" s="277">
        <v>6745</v>
      </c>
      <c r="AZ119" s="253">
        <v>1746</v>
      </c>
      <c r="BA119" s="20">
        <f>+BB119-AZ119</f>
        <v>1122</v>
      </c>
      <c r="BB119" s="247">
        <v>2868</v>
      </c>
      <c r="BC119" s="20">
        <f>+BD119-BB119</f>
        <v>1007</v>
      </c>
      <c r="BD119" s="247">
        <v>3875</v>
      </c>
      <c r="BE119" s="26">
        <f t="shared" si="102"/>
        <v>-3875</v>
      </c>
      <c r="BF119" s="277"/>
    </row>
    <row r="120" spans="2:58" ht="12.75">
      <c r="B120" s="189" t="s">
        <v>370</v>
      </c>
      <c r="D120" s="253">
        <v>628</v>
      </c>
      <c r="E120" s="20">
        <f>+F120-D120</f>
        <v>-466</v>
      </c>
      <c r="F120" s="247">
        <v>162</v>
      </c>
      <c r="G120" s="20">
        <f>+H120-F120</f>
        <v>-482</v>
      </c>
      <c r="H120" s="247">
        <v>-320</v>
      </c>
      <c r="I120" s="26">
        <f>+J120-H120</f>
        <v>-21</v>
      </c>
      <c r="J120" s="277">
        <v>-341</v>
      </c>
      <c r="L120" s="253">
        <v>628</v>
      </c>
      <c r="M120" s="20">
        <f>+N120-L120</f>
        <v>-466</v>
      </c>
      <c r="N120" s="247">
        <v>162</v>
      </c>
      <c r="O120" s="20">
        <f>+P120-N120</f>
        <v>-482</v>
      </c>
      <c r="P120" s="247">
        <v>-320</v>
      </c>
      <c r="Q120" s="26">
        <f>+R120-P120</f>
        <v>-21</v>
      </c>
      <c r="R120" s="277">
        <v>-341</v>
      </c>
      <c r="T120" s="253">
        <v>430</v>
      </c>
      <c r="U120" s="20">
        <f>+V120-T120</f>
        <v>-348</v>
      </c>
      <c r="V120" s="247">
        <v>82</v>
      </c>
      <c r="W120" s="20">
        <f>+X120-V120</f>
        <v>-212</v>
      </c>
      <c r="X120" s="247">
        <v>-130</v>
      </c>
      <c r="Y120" s="26">
        <f>+Z120-X120</f>
        <v>302</v>
      </c>
      <c r="Z120" s="277">
        <v>172</v>
      </c>
      <c r="AB120" s="253">
        <v>430</v>
      </c>
      <c r="AC120" s="20">
        <f>+AD120-AB120</f>
        <v>-348</v>
      </c>
      <c r="AD120" s="247">
        <v>82</v>
      </c>
      <c r="AE120" s="20">
        <f>+AF120-AD120</f>
        <v>-212</v>
      </c>
      <c r="AF120" s="247">
        <v>-130</v>
      </c>
      <c r="AG120" s="26">
        <f>+AH120-AF120</f>
        <v>302</v>
      </c>
      <c r="AH120" s="277">
        <v>172</v>
      </c>
      <c r="AJ120" s="253">
        <v>608</v>
      </c>
      <c r="AK120" s="20">
        <f>+AL120-AJ120</f>
        <v>-269</v>
      </c>
      <c r="AL120" s="247">
        <v>339</v>
      </c>
      <c r="AM120" s="20">
        <f>+AN120-AL120</f>
        <v>-233</v>
      </c>
      <c r="AN120" s="247">
        <v>106</v>
      </c>
      <c r="AO120" s="26">
        <f>+AP120-AN120</f>
        <v>91</v>
      </c>
      <c r="AP120" s="277">
        <v>197</v>
      </c>
      <c r="AR120" s="253">
        <v>280</v>
      </c>
      <c r="AS120" s="20">
        <f>+AT120-AR120</f>
        <v>-206</v>
      </c>
      <c r="AT120" s="247">
        <v>74</v>
      </c>
      <c r="AU120" s="20">
        <f>+AV120-AT120</f>
        <v>-162</v>
      </c>
      <c r="AV120" s="247">
        <v>-88</v>
      </c>
      <c r="AW120" s="26">
        <f t="shared" si="103"/>
        <v>88</v>
      </c>
      <c r="AX120" s="277">
        <v>0</v>
      </c>
      <c r="AZ120" s="253">
        <v>236</v>
      </c>
      <c r="BA120" s="20">
        <f>+BB120-AZ120</f>
        <v>-225</v>
      </c>
      <c r="BB120" s="247">
        <v>11</v>
      </c>
      <c r="BC120" s="20">
        <f>+BD120-BB120</f>
        <v>-148</v>
      </c>
      <c r="BD120" s="247">
        <v>-137</v>
      </c>
      <c r="BE120" s="26">
        <f t="shared" si="102"/>
        <v>137</v>
      </c>
      <c r="BF120" s="277"/>
    </row>
    <row r="121" spans="2:58" ht="12.75">
      <c r="B121" s="307" t="s">
        <v>368</v>
      </c>
      <c r="D121" s="161">
        <f aca="true" t="shared" si="104" ref="D121:J121">SUM(D117:D120)</f>
        <v>4863</v>
      </c>
      <c r="E121" s="58">
        <f t="shared" si="104"/>
        <v>3132</v>
      </c>
      <c r="F121" s="58">
        <f t="shared" si="104"/>
        <v>7995</v>
      </c>
      <c r="G121" s="58">
        <f t="shared" si="104"/>
        <v>3622</v>
      </c>
      <c r="H121" s="58">
        <f t="shared" si="104"/>
        <v>11617</v>
      </c>
      <c r="I121" s="24">
        <f t="shared" si="104"/>
        <v>4042</v>
      </c>
      <c r="J121" s="162">
        <f t="shared" si="104"/>
        <v>15659</v>
      </c>
      <c r="L121" s="161">
        <f aca="true" t="shared" si="105" ref="L121:R121">SUM(L117:L120)</f>
        <v>4863</v>
      </c>
      <c r="M121" s="58">
        <f t="shared" si="105"/>
        <v>3132</v>
      </c>
      <c r="N121" s="58">
        <f t="shared" si="105"/>
        <v>7995</v>
      </c>
      <c r="O121" s="58">
        <f t="shared" si="105"/>
        <v>3622</v>
      </c>
      <c r="P121" s="58">
        <f t="shared" si="105"/>
        <v>11617</v>
      </c>
      <c r="Q121" s="24">
        <f t="shared" si="105"/>
        <v>4042</v>
      </c>
      <c r="R121" s="162">
        <f t="shared" si="105"/>
        <v>15659</v>
      </c>
      <c r="T121" s="161">
        <f aca="true" t="shared" si="106" ref="T121:Z121">SUM(T117:T120)</f>
        <v>3947</v>
      </c>
      <c r="U121" s="58">
        <f t="shared" si="106"/>
        <v>2499</v>
      </c>
      <c r="V121" s="58">
        <f t="shared" si="106"/>
        <v>6446</v>
      </c>
      <c r="W121" s="58">
        <f t="shared" si="106"/>
        <v>2821</v>
      </c>
      <c r="X121" s="58">
        <f t="shared" si="106"/>
        <v>9267</v>
      </c>
      <c r="Y121" s="24">
        <f t="shared" si="106"/>
        <v>3976</v>
      </c>
      <c r="Z121" s="162">
        <f t="shared" si="106"/>
        <v>13243</v>
      </c>
      <c r="AB121" s="161">
        <f aca="true" t="shared" si="107" ref="AB121:AH121">SUM(AB117:AB120)</f>
        <v>3947</v>
      </c>
      <c r="AC121" s="58">
        <f t="shared" si="107"/>
        <v>2499</v>
      </c>
      <c r="AD121" s="58">
        <f t="shared" si="107"/>
        <v>6446</v>
      </c>
      <c r="AE121" s="58">
        <f t="shared" si="107"/>
        <v>2821</v>
      </c>
      <c r="AF121" s="58">
        <f t="shared" si="107"/>
        <v>9267</v>
      </c>
      <c r="AG121" s="24">
        <f t="shared" si="107"/>
        <v>3976</v>
      </c>
      <c r="AH121" s="162">
        <f t="shared" si="107"/>
        <v>13243</v>
      </c>
      <c r="AJ121" s="161">
        <f aca="true" t="shared" si="108" ref="AJ121:AP121">SUM(AJ117:AJ120)</f>
        <v>4600</v>
      </c>
      <c r="AK121" s="58">
        <f t="shared" si="108"/>
        <v>3443</v>
      </c>
      <c r="AL121" s="58">
        <f t="shared" si="108"/>
        <v>8043</v>
      </c>
      <c r="AM121" s="58">
        <f t="shared" si="108"/>
        <v>4026</v>
      </c>
      <c r="AN121" s="58">
        <f t="shared" si="108"/>
        <v>12069</v>
      </c>
      <c r="AO121" s="24">
        <f t="shared" si="108"/>
        <v>5507</v>
      </c>
      <c r="AP121" s="162">
        <f t="shared" si="108"/>
        <v>17576</v>
      </c>
      <c r="AR121" s="161">
        <f>SUM(AR117:AR120)</f>
        <v>5592</v>
      </c>
      <c r="AS121" s="58">
        <f>SUM(AS117:AS120)</f>
        <v>4946</v>
      </c>
      <c r="AT121" s="58">
        <f>SUM(AT117:AT120)</f>
        <v>10538</v>
      </c>
      <c r="AU121" s="58">
        <f>SUM(AU117:AU120)</f>
        <v>5005</v>
      </c>
      <c r="AV121" s="58">
        <f>SUM(AV117:AV120)</f>
        <v>15543</v>
      </c>
      <c r="AW121" s="24">
        <f t="shared" si="103"/>
        <v>6338</v>
      </c>
      <c r="AX121" s="162">
        <f>+AX117+AX118+AX119+AX120</f>
        <v>21881</v>
      </c>
      <c r="AZ121" s="161">
        <f>+SUM(AZ117:AZ120)</f>
        <v>5995</v>
      </c>
      <c r="BA121" s="58">
        <f>SUM(BA117:BA120)</f>
        <v>4656</v>
      </c>
      <c r="BB121" s="58">
        <f>SUM(BB117:BB120)</f>
        <v>10651</v>
      </c>
      <c r="BC121" s="58">
        <f>SUM(BC117:BC120)</f>
        <v>4546</v>
      </c>
      <c r="BD121" s="25">
        <f>SUM(BD117:BD120)</f>
        <v>15197</v>
      </c>
      <c r="BE121" s="24">
        <f t="shared" si="102"/>
        <v>-15197</v>
      </c>
      <c r="BF121" s="162">
        <f>+BF117+BF118+BF119+BF120</f>
        <v>0</v>
      </c>
    </row>
    <row r="122" spans="2:58" s="177" customFormat="1" ht="12.75">
      <c r="B122" s="178" t="s">
        <v>407</v>
      </c>
      <c r="D122" s="246">
        <v>443</v>
      </c>
      <c r="E122" s="20">
        <f>+F122-D122</f>
        <v>459</v>
      </c>
      <c r="F122" s="245">
        <v>902</v>
      </c>
      <c r="G122" s="20">
        <f>+H122-F122</f>
        <v>454</v>
      </c>
      <c r="H122" s="245">
        <v>1356</v>
      </c>
      <c r="I122" s="20">
        <f>+J122-H122</f>
        <v>443</v>
      </c>
      <c r="J122" s="272">
        <v>1799</v>
      </c>
      <c r="L122" s="246">
        <v>443</v>
      </c>
      <c r="M122" s="20">
        <f>+N122-L122</f>
        <v>459</v>
      </c>
      <c r="N122" s="245">
        <v>902</v>
      </c>
      <c r="O122" s="20">
        <f>+P122-N122</f>
        <v>454</v>
      </c>
      <c r="P122" s="245">
        <v>1356</v>
      </c>
      <c r="Q122" s="20">
        <f>+R122-P122</f>
        <v>443</v>
      </c>
      <c r="R122" s="272">
        <v>1799</v>
      </c>
      <c r="T122" s="246">
        <v>454</v>
      </c>
      <c r="U122" s="20">
        <f>+V122-T122</f>
        <v>438</v>
      </c>
      <c r="V122" s="245">
        <v>892</v>
      </c>
      <c r="W122" s="20">
        <f>+X122-V122</f>
        <v>422</v>
      </c>
      <c r="X122" s="245">
        <v>1314</v>
      </c>
      <c r="Y122" s="20">
        <f>+Z122-X122</f>
        <v>420</v>
      </c>
      <c r="Z122" s="272">
        <v>1734</v>
      </c>
      <c r="AB122" s="246">
        <v>454</v>
      </c>
      <c r="AC122" s="20">
        <f>+AD122-AB122</f>
        <v>438</v>
      </c>
      <c r="AD122" s="245">
        <v>892</v>
      </c>
      <c r="AE122" s="20">
        <f>+AF122-AD122</f>
        <v>422</v>
      </c>
      <c r="AF122" s="245">
        <v>1314</v>
      </c>
      <c r="AG122" s="20">
        <f>+AH122-AF122</f>
        <v>420</v>
      </c>
      <c r="AH122" s="272">
        <v>1734</v>
      </c>
      <c r="AJ122" s="253">
        <v>398</v>
      </c>
      <c r="AK122" s="20">
        <f>+AL122-AJ122</f>
        <v>382</v>
      </c>
      <c r="AL122" s="191">
        <v>780</v>
      </c>
      <c r="AM122" s="20">
        <f>+AN122-AL122</f>
        <v>355</v>
      </c>
      <c r="AN122" s="245">
        <v>1135</v>
      </c>
      <c r="AO122" s="20">
        <f>+AP122-AN122</f>
        <v>373</v>
      </c>
      <c r="AP122" s="272">
        <v>1508</v>
      </c>
      <c r="AR122" s="246">
        <v>375</v>
      </c>
      <c r="AS122" s="20">
        <f>+AT122-AR122</f>
        <v>383</v>
      </c>
      <c r="AT122" s="245">
        <v>758</v>
      </c>
      <c r="AU122" s="20">
        <f>+AV122-AT122</f>
        <v>356</v>
      </c>
      <c r="AV122" s="245">
        <v>1114</v>
      </c>
      <c r="AW122" s="20">
        <f>+AX122-AV122</f>
        <v>289</v>
      </c>
      <c r="AX122" s="272">
        <v>1403</v>
      </c>
      <c r="AZ122" s="246">
        <v>333</v>
      </c>
      <c r="BA122" s="20">
        <f>+BB122-AZ122</f>
        <v>-333</v>
      </c>
      <c r="BB122" s="245"/>
      <c r="BC122" s="20">
        <f>+BD122-BB122</f>
        <v>1254</v>
      </c>
      <c r="BD122" s="245">
        <v>1254</v>
      </c>
      <c r="BE122" s="20">
        <f t="shared" si="102"/>
        <v>-1254</v>
      </c>
      <c r="BF122" s="272"/>
    </row>
    <row r="123" spans="2:58" ht="12.75">
      <c r="B123" s="153"/>
      <c r="D123" s="115"/>
      <c r="E123" s="177"/>
      <c r="G123" s="177"/>
      <c r="I123" s="20"/>
      <c r="J123" s="104"/>
      <c r="L123" s="115"/>
      <c r="M123" s="177"/>
      <c r="O123" s="177"/>
      <c r="Q123" s="20"/>
      <c r="R123" s="104"/>
      <c r="T123" s="115"/>
      <c r="U123" s="177"/>
      <c r="W123" s="177"/>
      <c r="Y123" s="20"/>
      <c r="Z123" s="104"/>
      <c r="AB123" s="115"/>
      <c r="AC123" s="177"/>
      <c r="AE123" s="177"/>
      <c r="AG123" s="20"/>
      <c r="AH123" s="104"/>
      <c r="AJ123" s="253"/>
      <c r="AK123" s="177"/>
      <c r="AM123" s="177"/>
      <c r="AO123" s="20"/>
      <c r="AP123" s="104"/>
      <c r="AR123" s="115"/>
      <c r="AS123" s="177"/>
      <c r="AU123" s="177"/>
      <c r="AW123" s="20"/>
      <c r="AX123" s="104"/>
      <c r="AZ123" s="115"/>
      <c r="BA123" s="177"/>
      <c r="BC123" s="177"/>
      <c r="BD123" s="183"/>
      <c r="BE123" s="20"/>
      <c r="BF123" s="104"/>
    </row>
    <row r="124" spans="2:58" ht="12.75">
      <c r="B124" s="348" t="s">
        <v>525</v>
      </c>
      <c r="D124" s="167"/>
      <c r="E124" s="177"/>
      <c r="G124" s="177"/>
      <c r="I124" s="20"/>
      <c r="J124" s="104"/>
      <c r="L124" s="167"/>
      <c r="M124" s="177"/>
      <c r="O124" s="177"/>
      <c r="Q124" s="20"/>
      <c r="R124" s="104"/>
      <c r="T124" s="167"/>
      <c r="U124" s="177"/>
      <c r="W124" s="177"/>
      <c r="Y124" s="20"/>
      <c r="Z124" s="104"/>
      <c r="AB124" s="167"/>
      <c r="AC124" s="177"/>
      <c r="AE124" s="177"/>
      <c r="AG124" s="20"/>
      <c r="AH124" s="104"/>
      <c r="AJ124" s="167"/>
      <c r="AK124" s="177"/>
      <c r="AM124" s="177"/>
      <c r="AO124" s="20"/>
      <c r="AP124" s="104"/>
      <c r="AR124" s="167"/>
      <c r="AS124" s="177"/>
      <c r="AU124" s="177"/>
      <c r="AW124" s="20"/>
      <c r="AX124" s="104"/>
      <c r="AZ124" s="167"/>
      <c r="BA124" s="177"/>
      <c r="BC124" s="177"/>
      <c r="BD124" s="183"/>
      <c r="BE124" s="20"/>
      <c r="BF124" s="104"/>
    </row>
    <row r="125" spans="2:58" ht="12.75">
      <c r="B125" s="189" t="s">
        <v>110</v>
      </c>
      <c r="D125" s="253">
        <v>1335</v>
      </c>
      <c r="E125" s="20">
        <f>+F125-D125</f>
        <v>347</v>
      </c>
      <c r="F125" s="247">
        <v>1682</v>
      </c>
      <c r="G125" s="20">
        <f>+H125-F125</f>
        <v>185</v>
      </c>
      <c r="H125" s="247">
        <v>1867</v>
      </c>
      <c r="I125" s="20">
        <f>+J125-H125</f>
        <v>870</v>
      </c>
      <c r="J125" s="277">
        <v>2737</v>
      </c>
      <c r="L125" s="253">
        <v>1335</v>
      </c>
      <c r="M125" s="20">
        <f>+N125-L125</f>
        <v>347</v>
      </c>
      <c r="N125" s="247">
        <v>1682</v>
      </c>
      <c r="O125" s="20">
        <f>+P125-N125</f>
        <v>185</v>
      </c>
      <c r="P125" s="247">
        <v>1867</v>
      </c>
      <c r="Q125" s="20">
        <f>+R125-P125</f>
        <v>870</v>
      </c>
      <c r="R125" s="277">
        <v>2737</v>
      </c>
      <c r="T125" s="253">
        <v>1070</v>
      </c>
      <c r="U125" s="20">
        <f>+V125-T125</f>
        <v>281</v>
      </c>
      <c r="V125" s="247">
        <v>1351</v>
      </c>
      <c r="W125" s="20">
        <f>+X125-V125</f>
        <v>135</v>
      </c>
      <c r="X125" s="247">
        <v>1486</v>
      </c>
      <c r="Y125" s="20">
        <f>+Z125-X125</f>
        <v>828</v>
      </c>
      <c r="Z125" s="277">
        <v>2314</v>
      </c>
      <c r="AB125" s="253">
        <v>1070</v>
      </c>
      <c r="AC125" s="20">
        <f>+AD125-AB125</f>
        <v>281</v>
      </c>
      <c r="AD125" s="247">
        <v>1351</v>
      </c>
      <c r="AE125" s="20">
        <f>+AF125-AD125</f>
        <v>135</v>
      </c>
      <c r="AF125" s="247">
        <v>1486</v>
      </c>
      <c r="AG125" s="20">
        <f>+AH125-AF125</f>
        <v>828</v>
      </c>
      <c r="AH125" s="277">
        <v>2314</v>
      </c>
      <c r="AJ125" s="253">
        <v>1316</v>
      </c>
      <c r="AK125" s="20">
        <f>+AL125-AJ125</f>
        <v>273</v>
      </c>
      <c r="AL125" s="247">
        <v>1589</v>
      </c>
      <c r="AM125" s="20">
        <f>+AN125-AL125</f>
        <v>124</v>
      </c>
      <c r="AN125" s="247">
        <v>1713</v>
      </c>
      <c r="AO125" s="20">
        <f>+AP125-AN125</f>
        <v>935</v>
      </c>
      <c r="AP125" s="277">
        <v>2648</v>
      </c>
      <c r="AR125" s="253">
        <v>1266</v>
      </c>
      <c r="AS125" s="20">
        <f>+AT125-AR125</f>
        <v>237</v>
      </c>
      <c r="AT125" s="247">
        <v>1503</v>
      </c>
      <c r="AU125" s="20">
        <f>+AV125-AT125</f>
        <v>165</v>
      </c>
      <c r="AV125" s="247">
        <v>1668</v>
      </c>
      <c r="AW125" s="20">
        <f t="shared" si="103"/>
        <v>894</v>
      </c>
      <c r="AX125" s="277">
        <v>2562</v>
      </c>
      <c r="AZ125" s="253">
        <v>1180</v>
      </c>
      <c r="BA125" s="20">
        <f>+BB125-AZ125</f>
        <v>199</v>
      </c>
      <c r="BB125" s="247">
        <v>1379</v>
      </c>
      <c r="BC125" s="20">
        <f>+BD125-BB125</f>
        <v>134</v>
      </c>
      <c r="BD125" s="247">
        <v>1513</v>
      </c>
      <c r="BE125" s="20">
        <f aca="true" t="shared" si="109" ref="BE125:BE130">+BF125-BD125</f>
        <v>-1513</v>
      </c>
      <c r="BF125" s="277"/>
    </row>
    <row r="126" spans="2:58" ht="12.75">
      <c r="B126" s="189" t="s">
        <v>111</v>
      </c>
      <c r="D126" s="253">
        <v>705</v>
      </c>
      <c r="E126" s="20">
        <f>+F126-D126</f>
        <v>597</v>
      </c>
      <c r="F126" s="247">
        <v>1302</v>
      </c>
      <c r="G126" s="20">
        <f>+H126-F126</f>
        <v>630</v>
      </c>
      <c r="H126" s="247">
        <v>1932</v>
      </c>
      <c r="I126" s="20">
        <f>+J126-H126</f>
        <v>775</v>
      </c>
      <c r="J126" s="277">
        <v>2707</v>
      </c>
      <c r="L126" s="253">
        <v>705</v>
      </c>
      <c r="M126" s="20">
        <f>+N126-L126</f>
        <v>597</v>
      </c>
      <c r="N126" s="247">
        <v>1302</v>
      </c>
      <c r="O126" s="20">
        <f>+P126-N126</f>
        <v>630</v>
      </c>
      <c r="P126" s="247">
        <v>1932</v>
      </c>
      <c r="Q126" s="20">
        <f>+R126-P126</f>
        <v>775</v>
      </c>
      <c r="R126" s="277">
        <v>2707</v>
      </c>
      <c r="T126" s="253">
        <v>893</v>
      </c>
      <c r="U126" s="20">
        <f>+V126-T126</f>
        <v>784</v>
      </c>
      <c r="V126" s="247">
        <v>1677</v>
      </c>
      <c r="W126" s="20">
        <f>+X126-V126</f>
        <v>820</v>
      </c>
      <c r="X126" s="247">
        <v>2497</v>
      </c>
      <c r="Y126" s="20">
        <f>+Z126-X126</f>
        <v>916</v>
      </c>
      <c r="Z126" s="277">
        <v>3413</v>
      </c>
      <c r="AB126" s="253">
        <v>893</v>
      </c>
      <c r="AC126" s="20">
        <f>+AD126-AB126</f>
        <v>784</v>
      </c>
      <c r="AD126" s="247">
        <v>1677</v>
      </c>
      <c r="AE126" s="20">
        <f>+AF126-AD126</f>
        <v>820</v>
      </c>
      <c r="AF126" s="247">
        <v>2497</v>
      </c>
      <c r="AG126" s="20">
        <f>+AH126-AF126</f>
        <v>916</v>
      </c>
      <c r="AH126" s="277">
        <v>3413</v>
      </c>
      <c r="AJ126" s="253">
        <v>879</v>
      </c>
      <c r="AK126" s="20">
        <f>+AL126-AJ126</f>
        <v>777</v>
      </c>
      <c r="AL126" s="247">
        <v>1656</v>
      </c>
      <c r="AM126" s="20">
        <f>+AN126-AL126</f>
        <v>789</v>
      </c>
      <c r="AN126" s="247">
        <v>2445</v>
      </c>
      <c r="AO126" s="20">
        <f>+AP126-AN126</f>
        <v>940</v>
      </c>
      <c r="AP126" s="277">
        <v>3385</v>
      </c>
      <c r="AR126" s="253">
        <v>1041</v>
      </c>
      <c r="AS126" s="20">
        <f>+AT126-AR126</f>
        <v>942</v>
      </c>
      <c r="AT126" s="247">
        <v>1983</v>
      </c>
      <c r="AU126" s="20">
        <f>+AV126-AT126</f>
        <v>907</v>
      </c>
      <c r="AV126" s="247">
        <v>2890</v>
      </c>
      <c r="AW126" s="20">
        <f t="shared" si="103"/>
        <v>1080</v>
      </c>
      <c r="AX126" s="277">
        <v>3970</v>
      </c>
      <c r="AZ126" s="253">
        <v>1150</v>
      </c>
      <c r="BA126" s="20">
        <f>+BB126-AZ126</f>
        <v>1059</v>
      </c>
      <c r="BB126" s="247">
        <v>2209</v>
      </c>
      <c r="BC126" s="20">
        <f>+BD126-BB126</f>
        <v>1040</v>
      </c>
      <c r="BD126" s="247">
        <v>3249</v>
      </c>
      <c r="BE126" s="20">
        <f t="shared" si="109"/>
        <v>-3249</v>
      </c>
      <c r="BF126" s="277"/>
    </row>
    <row r="127" spans="2:58" ht="12.75">
      <c r="B127" s="152" t="s">
        <v>112</v>
      </c>
      <c r="D127" s="253">
        <v>1749</v>
      </c>
      <c r="E127" s="20">
        <f>+F127-D127</f>
        <v>1368</v>
      </c>
      <c r="F127" s="247">
        <v>3117</v>
      </c>
      <c r="G127" s="20">
        <f>+H127-F127</f>
        <v>1791</v>
      </c>
      <c r="H127" s="247">
        <v>4908</v>
      </c>
      <c r="I127" s="20">
        <f>+J127-H127</f>
        <v>1670</v>
      </c>
      <c r="J127" s="277">
        <v>6578</v>
      </c>
      <c r="L127" s="253">
        <v>1749</v>
      </c>
      <c r="M127" s="20">
        <f>+N127-L127</f>
        <v>1368</v>
      </c>
      <c r="N127" s="247">
        <v>3117</v>
      </c>
      <c r="O127" s="20">
        <f>+P127-N127</f>
        <v>1791</v>
      </c>
      <c r="P127" s="247">
        <v>4908</v>
      </c>
      <c r="Q127" s="20">
        <f>+R127-P127</f>
        <v>1670</v>
      </c>
      <c r="R127" s="277">
        <v>6578</v>
      </c>
      <c r="T127" s="253">
        <v>1260</v>
      </c>
      <c r="U127" s="20">
        <f>+V127-T127</f>
        <v>804</v>
      </c>
      <c r="V127" s="247">
        <v>2064</v>
      </c>
      <c r="W127" s="20">
        <f>+X127-V127</f>
        <v>1122</v>
      </c>
      <c r="X127" s="247">
        <v>3186</v>
      </c>
      <c r="Y127" s="20">
        <f>+Z127-X127</f>
        <v>1221</v>
      </c>
      <c r="Z127" s="277">
        <v>4407</v>
      </c>
      <c r="AB127" s="253">
        <v>1260</v>
      </c>
      <c r="AC127" s="20">
        <f>+AD127-AB127</f>
        <v>804</v>
      </c>
      <c r="AD127" s="247">
        <v>2064</v>
      </c>
      <c r="AE127" s="20">
        <f>+AF127-AD127</f>
        <v>1122</v>
      </c>
      <c r="AF127" s="247">
        <v>3186</v>
      </c>
      <c r="AG127" s="20">
        <f>+AH127-AF127</f>
        <v>1221</v>
      </c>
      <c r="AH127" s="277">
        <v>4407</v>
      </c>
      <c r="AJ127" s="253">
        <v>1371</v>
      </c>
      <c r="AK127" s="20">
        <f>+AL127-AJ127</f>
        <v>1052</v>
      </c>
      <c r="AL127" s="247">
        <v>2423</v>
      </c>
      <c r="AM127" s="20">
        <f>+AN127-AL127</f>
        <v>1623</v>
      </c>
      <c r="AN127" s="247">
        <v>4046</v>
      </c>
      <c r="AO127" s="20">
        <f>+AP127-AN127</f>
        <v>1625</v>
      </c>
      <c r="AP127" s="277">
        <v>5671</v>
      </c>
      <c r="AR127" s="253">
        <v>1750</v>
      </c>
      <c r="AS127" s="20">
        <f>+AT127-AR127</f>
        <v>1316</v>
      </c>
      <c r="AT127" s="247">
        <v>3066</v>
      </c>
      <c r="AU127" s="20">
        <f>+AV127-AT127</f>
        <v>1862</v>
      </c>
      <c r="AV127" s="247">
        <v>4928</v>
      </c>
      <c r="AW127" s="20">
        <f t="shared" si="103"/>
        <v>2392</v>
      </c>
      <c r="AX127" s="277">
        <v>7320</v>
      </c>
      <c r="AZ127" s="253">
        <v>2107</v>
      </c>
      <c r="BA127" s="20">
        <f>+BB127-AZ127</f>
        <v>1547</v>
      </c>
      <c r="BB127" s="247">
        <v>3654</v>
      </c>
      <c r="BC127" s="20">
        <f>+BD127-BB127</f>
        <v>1759</v>
      </c>
      <c r="BD127" s="247">
        <v>5413</v>
      </c>
      <c r="BE127" s="20">
        <f t="shared" si="109"/>
        <v>-5413</v>
      </c>
      <c r="BF127" s="277"/>
    </row>
    <row r="128" spans="2:58" ht="12.75">
      <c r="B128" s="152" t="s">
        <v>145</v>
      </c>
      <c r="D128" s="253">
        <v>1074</v>
      </c>
      <c r="E128" s="20">
        <f>+F128-D128</f>
        <v>820</v>
      </c>
      <c r="F128" s="247">
        <v>1894</v>
      </c>
      <c r="G128" s="20">
        <f>+H128-F128</f>
        <v>1016</v>
      </c>
      <c r="H128" s="247">
        <v>2910</v>
      </c>
      <c r="I128" s="20">
        <f>+J128-H128</f>
        <v>727</v>
      </c>
      <c r="J128" s="277">
        <v>3637</v>
      </c>
      <c r="L128" s="253">
        <v>1074</v>
      </c>
      <c r="M128" s="20">
        <f>+N128-L128</f>
        <v>820</v>
      </c>
      <c r="N128" s="247">
        <v>1894</v>
      </c>
      <c r="O128" s="20">
        <f>+P128-N128</f>
        <v>1016</v>
      </c>
      <c r="P128" s="247">
        <v>2910</v>
      </c>
      <c r="Q128" s="20">
        <f>+R128-P128</f>
        <v>727</v>
      </c>
      <c r="R128" s="277">
        <v>3637</v>
      </c>
      <c r="T128" s="253">
        <v>724</v>
      </c>
      <c r="U128" s="20">
        <f>+V128-T128</f>
        <v>630</v>
      </c>
      <c r="V128" s="247">
        <v>1354</v>
      </c>
      <c r="W128" s="20">
        <f>+X128-V128</f>
        <v>744</v>
      </c>
      <c r="X128" s="247">
        <v>2098</v>
      </c>
      <c r="Y128" s="20">
        <f>+Z128-X128</f>
        <v>1011</v>
      </c>
      <c r="Z128" s="277">
        <v>3109</v>
      </c>
      <c r="AB128" s="253">
        <v>724</v>
      </c>
      <c r="AC128" s="20">
        <f>+AD128-AB128</f>
        <v>630</v>
      </c>
      <c r="AD128" s="247">
        <v>1354</v>
      </c>
      <c r="AE128" s="20">
        <f>+AF128-AD128</f>
        <v>744</v>
      </c>
      <c r="AF128" s="247">
        <v>2098</v>
      </c>
      <c r="AG128" s="20">
        <f>+AH128-AF128</f>
        <v>1011</v>
      </c>
      <c r="AH128" s="277">
        <v>3109</v>
      </c>
      <c r="AJ128" s="253">
        <v>1034</v>
      </c>
      <c r="AK128" s="20">
        <f>+AL128-AJ128</f>
        <v>1341</v>
      </c>
      <c r="AL128" s="247">
        <v>2375</v>
      </c>
      <c r="AM128" s="20">
        <f>+AN128-AL128</f>
        <v>1490</v>
      </c>
      <c r="AN128" s="247">
        <v>3865</v>
      </c>
      <c r="AO128" s="20">
        <f>+AP128-AN128</f>
        <v>2007</v>
      </c>
      <c r="AP128" s="277">
        <v>5872</v>
      </c>
      <c r="AR128" s="253">
        <v>1536</v>
      </c>
      <c r="AS128" s="20">
        <f>+AT128-AR128</f>
        <v>2450</v>
      </c>
      <c r="AT128" s="247">
        <v>3986</v>
      </c>
      <c r="AU128" s="20">
        <f>+AV128-AT128</f>
        <v>2071</v>
      </c>
      <c r="AV128" s="247">
        <v>6057</v>
      </c>
      <c r="AW128" s="20">
        <f t="shared" si="103"/>
        <v>1972</v>
      </c>
      <c r="AX128" s="277">
        <v>8029</v>
      </c>
      <c r="AZ128" s="253">
        <v>1558</v>
      </c>
      <c r="BA128" s="20">
        <f>+BB128-AZ128</f>
        <v>1851</v>
      </c>
      <c r="BB128" s="247">
        <v>3409</v>
      </c>
      <c r="BC128" s="20">
        <f>+BD128-BB128</f>
        <v>1613</v>
      </c>
      <c r="BD128" s="247">
        <v>5022</v>
      </c>
      <c r="BE128" s="20">
        <f t="shared" si="109"/>
        <v>-5022</v>
      </c>
      <c r="BF128" s="277"/>
    </row>
    <row r="129" spans="2:58" ht="12.75">
      <c r="B129" s="307" t="s">
        <v>144</v>
      </c>
      <c r="D129" s="187">
        <f aca="true" t="shared" si="110" ref="D129:J129">SUM(D125:D128)</f>
        <v>4863</v>
      </c>
      <c r="E129" s="25">
        <f t="shared" si="110"/>
        <v>3132</v>
      </c>
      <c r="F129" s="25">
        <f t="shared" si="110"/>
        <v>7995</v>
      </c>
      <c r="G129" s="58">
        <f t="shared" si="110"/>
        <v>3622</v>
      </c>
      <c r="H129" s="58">
        <f t="shared" si="110"/>
        <v>11617</v>
      </c>
      <c r="I129" s="24">
        <f t="shared" si="110"/>
        <v>4042</v>
      </c>
      <c r="J129" s="162">
        <f t="shared" si="110"/>
        <v>15659</v>
      </c>
      <c r="L129" s="187">
        <f aca="true" t="shared" si="111" ref="L129:R129">SUM(L125:L128)</f>
        <v>4863</v>
      </c>
      <c r="M129" s="25">
        <f t="shared" si="111"/>
        <v>3132</v>
      </c>
      <c r="N129" s="25">
        <f t="shared" si="111"/>
        <v>7995</v>
      </c>
      <c r="O129" s="58">
        <f t="shared" si="111"/>
        <v>3622</v>
      </c>
      <c r="P129" s="58">
        <f t="shared" si="111"/>
        <v>11617</v>
      </c>
      <c r="Q129" s="24">
        <f t="shared" si="111"/>
        <v>4042</v>
      </c>
      <c r="R129" s="162">
        <f t="shared" si="111"/>
        <v>15659</v>
      </c>
      <c r="T129" s="187">
        <f aca="true" t="shared" si="112" ref="T129:Z129">SUM(T125:T128)</f>
        <v>3947</v>
      </c>
      <c r="U129" s="25">
        <f t="shared" si="112"/>
        <v>2499</v>
      </c>
      <c r="V129" s="25">
        <f t="shared" si="112"/>
        <v>6446</v>
      </c>
      <c r="W129" s="58">
        <f t="shared" si="112"/>
        <v>2821</v>
      </c>
      <c r="X129" s="58">
        <f t="shared" si="112"/>
        <v>9267</v>
      </c>
      <c r="Y129" s="24">
        <f t="shared" si="112"/>
        <v>3976</v>
      </c>
      <c r="Z129" s="162">
        <f t="shared" si="112"/>
        <v>13243</v>
      </c>
      <c r="AB129" s="187">
        <f aca="true" t="shared" si="113" ref="AB129:AH129">SUM(AB125:AB128)</f>
        <v>3947</v>
      </c>
      <c r="AC129" s="25">
        <f t="shared" si="113"/>
        <v>2499</v>
      </c>
      <c r="AD129" s="25">
        <f t="shared" si="113"/>
        <v>6446</v>
      </c>
      <c r="AE129" s="58">
        <f t="shared" si="113"/>
        <v>2821</v>
      </c>
      <c r="AF129" s="58">
        <f t="shared" si="113"/>
        <v>9267</v>
      </c>
      <c r="AG129" s="24">
        <f t="shared" si="113"/>
        <v>3976</v>
      </c>
      <c r="AH129" s="162">
        <f t="shared" si="113"/>
        <v>13243</v>
      </c>
      <c r="AJ129" s="187">
        <f aca="true" t="shared" si="114" ref="AJ129:AP129">SUM(AJ125:AJ128)</f>
        <v>4600</v>
      </c>
      <c r="AK129" s="25">
        <f t="shared" si="114"/>
        <v>3443</v>
      </c>
      <c r="AL129" s="25">
        <f t="shared" si="114"/>
        <v>8043</v>
      </c>
      <c r="AM129" s="58">
        <f t="shared" si="114"/>
        <v>4026</v>
      </c>
      <c r="AN129" s="58">
        <f t="shared" si="114"/>
        <v>12069</v>
      </c>
      <c r="AO129" s="24">
        <f t="shared" si="114"/>
        <v>5507</v>
      </c>
      <c r="AP129" s="162">
        <f t="shared" si="114"/>
        <v>17576</v>
      </c>
      <c r="AR129" s="187">
        <f>SUM(AR125:AR128)</f>
        <v>5593</v>
      </c>
      <c r="AS129" s="25">
        <f>SUM(AS125:AS128)</f>
        <v>4945</v>
      </c>
      <c r="AT129" s="25">
        <f>SUM(AT125:AT128)</f>
        <v>10538</v>
      </c>
      <c r="AU129" s="58">
        <f>SUM(AU125:AU128)</f>
        <v>5005</v>
      </c>
      <c r="AV129" s="58">
        <f>SUM(AV125:AV128)</f>
        <v>15543</v>
      </c>
      <c r="AW129" s="24">
        <f t="shared" si="103"/>
        <v>6338</v>
      </c>
      <c r="AX129" s="162">
        <f>+AX125+AX126+AX127+AX128</f>
        <v>21881</v>
      </c>
      <c r="AZ129" s="187">
        <f>+SUM(AZ125:AZ128)</f>
        <v>5995</v>
      </c>
      <c r="BA129" s="25">
        <f>SUM(BA125:BA128)</f>
        <v>4656</v>
      </c>
      <c r="BB129" s="25">
        <f>SUM(BB125:BB128)</f>
        <v>10651</v>
      </c>
      <c r="BC129" s="58">
        <f>SUM(BC125:BC128)</f>
        <v>4546</v>
      </c>
      <c r="BD129" s="25">
        <f>SUM(BD125:BD128)</f>
        <v>15197</v>
      </c>
      <c r="BE129" s="24">
        <f t="shared" si="109"/>
        <v>-15197</v>
      </c>
      <c r="BF129" s="162">
        <f>+BF125+BF126+BF127+BF128</f>
        <v>0</v>
      </c>
    </row>
    <row r="130" spans="2:58" s="177" customFormat="1" ht="12" customHeight="1">
      <c r="B130" s="182" t="s">
        <v>412</v>
      </c>
      <c r="D130" s="270">
        <v>443</v>
      </c>
      <c r="E130" s="88">
        <f>+F130-D130</f>
        <v>459</v>
      </c>
      <c r="F130" s="271">
        <v>902</v>
      </c>
      <c r="G130" s="88">
        <f>+H130-F130</f>
        <v>454</v>
      </c>
      <c r="H130" s="271">
        <v>1356</v>
      </c>
      <c r="I130" s="88">
        <f>+J130-H130</f>
        <v>443</v>
      </c>
      <c r="J130" s="281">
        <v>1799</v>
      </c>
      <c r="L130" s="270">
        <v>443</v>
      </c>
      <c r="M130" s="88">
        <f>+N130-L130</f>
        <v>459</v>
      </c>
      <c r="N130" s="271">
        <v>902</v>
      </c>
      <c r="O130" s="88">
        <f>+P130-N130</f>
        <v>454</v>
      </c>
      <c r="P130" s="271">
        <v>1356</v>
      </c>
      <c r="Q130" s="88">
        <f>+R130-P130</f>
        <v>443</v>
      </c>
      <c r="R130" s="281">
        <v>1799</v>
      </c>
      <c r="T130" s="270">
        <v>454</v>
      </c>
      <c r="U130" s="88">
        <f>+V130-T130</f>
        <v>438</v>
      </c>
      <c r="V130" s="271">
        <v>892</v>
      </c>
      <c r="W130" s="88">
        <f>+X130-V130</f>
        <v>422</v>
      </c>
      <c r="X130" s="271">
        <v>1314</v>
      </c>
      <c r="Y130" s="88">
        <f>+Z130-X130</f>
        <v>420</v>
      </c>
      <c r="Z130" s="281">
        <v>1734</v>
      </c>
      <c r="AB130" s="270">
        <v>454</v>
      </c>
      <c r="AC130" s="88">
        <f>+AD130-AB130</f>
        <v>438</v>
      </c>
      <c r="AD130" s="271">
        <v>892</v>
      </c>
      <c r="AE130" s="88">
        <f>+AF130-AD130</f>
        <v>422</v>
      </c>
      <c r="AF130" s="271">
        <v>1314</v>
      </c>
      <c r="AG130" s="88">
        <f>+AH130-AF130</f>
        <v>420</v>
      </c>
      <c r="AH130" s="281">
        <v>1734</v>
      </c>
      <c r="AJ130" s="270">
        <v>398</v>
      </c>
      <c r="AK130" s="88">
        <f>+AL130-AJ130</f>
        <v>382</v>
      </c>
      <c r="AL130" s="271">
        <v>780</v>
      </c>
      <c r="AM130" s="88">
        <f>+AN130-AL130</f>
        <v>355</v>
      </c>
      <c r="AN130" s="271">
        <v>1135</v>
      </c>
      <c r="AO130" s="88">
        <f>+AP130-AN130</f>
        <v>373</v>
      </c>
      <c r="AP130" s="281">
        <v>1508</v>
      </c>
      <c r="AR130" s="270">
        <v>375</v>
      </c>
      <c r="AS130" s="88">
        <f>+AT130-AR130</f>
        <v>383</v>
      </c>
      <c r="AT130" s="271">
        <v>758</v>
      </c>
      <c r="AU130" s="88">
        <f>+AV130-AT130</f>
        <v>356</v>
      </c>
      <c r="AV130" s="271">
        <v>1114</v>
      </c>
      <c r="AW130" s="88">
        <f t="shared" si="103"/>
        <v>289</v>
      </c>
      <c r="AX130" s="281">
        <v>1403</v>
      </c>
      <c r="AZ130" s="270">
        <v>333</v>
      </c>
      <c r="BA130" s="88">
        <f>+BB130-AZ130</f>
        <v>453</v>
      </c>
      <c r="BB130" s="271">
        <v>786</v>
      </c>
      <c r="BC130" s="88">
        <f>+BD130-BB130</f>
        <v>468</v>
      </c>
      <c r="BD130" s="271">
        <v>1254</v>
      </c>
      <c r="BE130" s="88">
        <f t="shared" si="109"/>
        <v>-1254</v>
      </c>
      <c r="BF130" s="281"/>
    </row>
    <row r="131" spans="17:76" ht="12.75">
      <c r="Q131" s="59"/>
      <c r="X131" s="112"/>
      <c r="BD131" s="183"/>
      <c r="BG131" s="41"/>
      <c r="BH131" s="41"/>
      <c r="BJ131" s="41"/>
      <c r="BK131" s="41"/>
      <c r="BL131" s="41"/>
      <c r="BM131" s="41"/>
      <c r="BN131" s="41"/>
      <c r="BO131" s="41"/>
      <c r="BP131" s="41"/>
      <c r="BR131" s="41"/>
      <c r="BS131" s="41"/>
      <c r="BT131" s="41"/>
      <c r="BU131" s="41"/>
      <c r="BV131" s="41"/>
      <c r="BW131" s="41"/>
      <c r="BX131" s="41"/>
    </row>
    <row r="132" ht="12.75">
      <c r="BD132" s="183"/>
    </row>
    <row r="133" spans="2:58" s="53" customFormat="1" ht="17.25" customHeight="1">
      <c r="B133" s="148" t="s">
        <v>528</v>
      </c>
      <c r="D133" s="451" t="s">
        <v>232</v>
      </c>
      <c r="E133" s="452" t="s">
        <v>233</v>
      </c>
      <c r="F133" s="452" t="s">
        <v>234</v>
      </c>
      <c r="G133" s="452" t="s">
        <v>235</v>
      </c>
      <c r="H133" s="452" t="s">
        <v>236</v>
      </c>
      <c r="I133" s="452" t="s">
        <v>237</v>
      </c>
      <c r="J133" s="453" t="s">
        <v>238</v>
      </c>
      <c r="L133" s="451" t="s">
        <v>232</v>
      </c>
      <c r="M133" s="452" t="s">
        <v>233</v>
      </c>
      <c r="N133" s="452" t="s">
        <v>234</v>
      </c>
      <c r="O133" s="452" t="s">
        <v>235</v>
      </c>
      <c r="P133" s="452" t="s">
        <v>236</v>
      </c>
      <c r="Q133" s="452" t="s">
        <v>237</v>
      </c>
      <c r="R133" s="453" t="s">
        <v>238</v>
      </c>
      <c r="T133" s="451" t="s">
        <v>247</v>
      </c>
      <c r="U133" s="452" t="s">
        <v>248</v>
      </c>
      <c r="V133" s="452" t="s">
        <v>249</v>
      </c>
      <c r="W133" s="452" t="s">
        <v>250</v>
      </c>
      <c r="X133" s="452" t="s">
        <v>251</v>
      </c>
      <c r="Y133" s="452" t="s">
        <v>252</v>
      </c>
      <c r="Z133" s="453" t="s">
        <v>253</v>
      </c>
      <c r="AB133" s="451" t="str">
        <f>+AB4</f>
        <v>IQ 2014</v>
      </c>
      <c r="AC133" s="452" t="str">
        <f aca="true" t="shared" si="115" ref="AC133:AH133">+AC4</f>
        <v>IIQ 2014</v>
      </c>
      <c r="AD133" s="452" t="str">
        <f t="shared" si="115"/>
        <v>IH 2014</v>
      </c>
      <c r="AE133" s="452" t="str">
        <f t="shared" si="115"/>
        <v>III Q 2014</v>
      </c>
      <c r="AF133" s="452" t="str">
        <f t="shared" si="115"/>
        <v>9M 2014</v>
      </c>
      <c r="AG133" s="452" t="str">
        <f t="shared" si="115"/>
        <v>IV Q 2014</v>
      </c>
      <c r="AH133" s="453" t="str">
        <f t="shared" si="115"/>
        <v>FY 2014</v>
      </c>
      <c r="AJ133" s="451" t="str">
        <f>+AJ4</f>
        <v>IQ 2015</v>
      </c>
      <c r="AK133" s="452" t="str">
        <f aca="true" t="shared" si="116" ref="AK133:AP133">+AK4</f>
        <v>IIQ 2015</v>
      </c>
      <c r="AL133" s="452" t="str">
        <f t="shared" si="116"/>
        <v>IH 2015</v>
      </c>
      <c r="AM133" s="452" t="str">
        <f t="shared" si="116"/>
        <v>III Q 2015</v>
      </c>
      <c r="AN133" s="452" t="str">
        <f t="shared" si="116"/>
        <v>9M 2015</v>
      </c>
      <c r="AO133" s="452" t="str">
        <f t="shared" si="116"/>
        <v>IV Q 2015</v>
      </c>
      <c r="AP133" s="453" t="str">
        <f t="shared" si="116"/>
        <v>FY 2015</v>
      </c>
      <c r="AR133" s="451" t="s">
        <v>295</v>
      </c>
      <c r="AS133" s="452" t="s">
        <v>296</v>
      </c>
      <c r="AT133" s="452" t="s">
        <v>297</v>
      </c>
      <c r="AU133" s="452" t="s">
        <v>298</v>
      </c>
      <c r="AV133" s="452" t="s">
        <v>299</v>
      </c>
      <c r="AW133" s="452" t="s">
        <v>300</v>
      </c>
      <c r="AX133" s="453" t="s">
        <v>371</v>
      </c>
      <c r="AZ133" s="451" t="str">
        <f>+AZ114</f>
        <v>IQ 2017</v>
      </c>
      <c r="BA133" s="451" t="str">
        <f aca="true" t="shared" si="117" ref="BA133:BF133">+BA114</f>
        <v>IIQ 2017</v>
      </c>
      <c r="BB133" s="451" t="str">
        <f t="shared" si="117"/>
        <v>IH 2017 (5) </v>
      </c>
      <c r="BC133" s="451" t="str">
        <f t="shared" si="117"/>
        <v>III Q 2017</v>
      </c>
      <c r="BD133" s="451" t="str">
        <f t="shared" si="117"/>
        <v>9M 2017</v>
      </c>
      <c r="BE133" s="451" t="str">
        <f t="shared" si="117"/>
        <v>IV Q 2017</v>
      </c>
      <c r="BF133" s="451" t="str">
        <f t="shared" si="117"/>
        <v>FY 2017 (1)</v>
      </c>
    </row>
    <row r="134" spans="2:58" ht="12.75">
      <c r="B134" s="173"/>
      <c r="D134" s="97"/>
      <c r="E134" s="183"/>
      <c r="F134" s="183"/>
      <c r="G134" s="183"/>
      <c r="H134" s="183"/>
      <c r="I134" s="183"/>
      <c r="J134" s="114"/>
      <c r="L134" s="115"/>
      <c r="Q134" s="59"/>
      <c r="R134" s="104"/>
      <c r="T134" s="115"/>
      <c r="Z134" s="104"/>
      <c r="AB134" s="115"/>
      <c r="AH134" s="104"/>
      <c r="AJ134" s="115"/>
      <c r="AP134" s="104"/>
      <c r="AR134" s="206"/>
      <c r="AS134" s="207"/>
      <c r="AT134" s="207"/>
      <c r="AU134" s="207"/>
      <c r="AV134" s="207"/>
      <c r="AW134" s="207"/>
      <c r="AX134" s="208"/>
      <c r="AZ134" s="206"/>
      <c r="BA134" s="207"/>
      <c r="BB134" s="207"/>
      <c r="BC134" s="207"/>
      <c r="BD134" s="837"/>
      <c r="BE134" s="207"/>
      <c r="BF134" s="208"/>
    </row>
    <row r="135" spans="2:58" ht="12.75">
      <c r="B135" s="348" t="s">
        <v>529</v>
      </c>
      <c r="D135" s="97"/>
      <c r="E135" s="183"/>
      <c r="F135" s="183"/>
      <c r="G135" s="183"/>
      <c r="H135" s="183"/>
      <c r="I135" s="183"/>
      <c r="J135" s="114"/>
      <c r="L135" s="115"/>
      <c r="Q135" s="59"/>
      <c r="R135" s="104"/>
      <c r="T135" s="115"/>
      <c r="Z135" s="104"/>
      <c r="AB135" s="115"/>
      <c r="AH135" s="104"/>
      <c r="AJ135" s="115"/>
      <c r="AP135" s="104"/>
      <c r="AR135" s="115"/>
      <c r="AX135" s="104"/>
      <c r="AZ135" s="115"/>
      <c r="BD135" s="183"/>
      <c r="BF135" s="104"/>
    </row>
    <row r="136" spans="2:69" ht="12.75">
      <c r="B136" s="189" t="s">
        <v>530</v>
      </c>
      <c r="D136" s="253">
        <v>355</v>
      </c>
      <c r="E136" s="20">
        <f>+F136-D136</f>
        <v>348</v>
      </c>
      <c r="F136" s="247">
        <v>703</v>
      </c>
      <c r="G136" s="20">
        <f>+H136-F136</f>
        <v>557</v>
      </c>
      <c r="H136" s="247">
        <v>1260</v>
      </c>
      <c r="I136" s="20">
        <f>+J136-H136</f>
        <v>680</v>
      </c>
      <c r="J136" s="277">
        <v>1940</v>
      </c>
      <c r="L136" s="253">
        <v>355</v>
      </c>
      <c r="M136" s="20">
        <f>+N136-L136</f>
        <v>348</v>
      </c>
      <c r="N136" s="247">
        <v>703</v>
      </c>
      <c r="O136" s="20">
        <f>+P136-N136</f>
        <v>557</v>
      </c>
      <c r="P136" s="247">
        <v>1260</v>
      </c>
      <c r="Q136" s="20">
        <f>+R136-P136</f>
        <v>680</v>
      </c>
      <c r="R136" s="277">
        <v>1940</v>
      </c>
      <c r="T136" s="253">
        <v>639</v>
      </c>
      <c r="U136" s="20">
        <f>+V136-T136</f>
        <v>551</v>
      </c>
      <c r="V136" s="247">
        <v>1190</v>
      </c>
      <c r="W136" s="20">
        <f>+X136-V136</f>
        <v>716</v>
      </c>
      <c r="X136" s="247">
        <v>1906</v>
      </c>
      <c r="Y136" s="20">
        <f>+Z136-X136</f>
        <v>714</v>
      </c>
      <c r="Z136" s="277">
        <v>2620</v>
      </c>
      <c r="AB136" s="253">
        <v>639</v>
      </c>
      <c r="AC136" s="20">
        <f>+AD136-AB136</f>
        <v>551</v>
      </c>
      <c r="AD136" s="247">
        <v>1190</v>
      </c>
      <c r="AE136" s="20">
        <f>+AF136-AD136</f>
        <v>716</v>
      </c>
      <c r="AF136" s="247">
        <v>1906</v>
      </c>
      <c r="AG136" s="20">
        <f>+AH136-AF136</f>
        <v>714</v>
      </c>
      <c r="AH136" s="277">
        <v>2620</v>
      </c>
      <c r="AJ136" s="253">
        <v>665</v>
      </c>
      <c r="AK136" s="20">
        <f>+AL136-AJ136</f>
        <v>655</v>
      </c>
      <c r="AL136" s="247">
        <v>1320</v>
      </c>
      <c r="AM136" s="20">
        <f>+AN136-AL136</f>
        <v>633</v>
      </c>
      <c r="AN136" s="247">
        <v>1953</v>
      </c>
      <c r="AO136" s="20">
        <f>+AP136-AN136</f>
        <v>593</v>
      </c>
      <c r="AP136" s="277">
        <v>2546</v>
      </c>
      <c r="AR136" s="253">
        <v>561</v>
      </c>
      <c r="AS136" s="20">
        <f>+AT136-AR136</f>
        <v>564</v>
      </c>
      <c r="AT136" s="247">
        <v>1125</v>
      </c>
      <c r="AU136" s="20">
        <f>+AV136-AT136</f>
        <v>542</v>
      </c>
      <c r="AV136" s="247">
        <v>1667</v>
      </c>
      <c r="AW136" s="20">
        <f>+AX136-AV136</f>
        <v>496</v>
      </c>
      <c r="AX136" s="277">
        <v>2163</v>
      </c>
      <c r="AZ136" s="253">
        <v>467</v>
      </c>
      <c r="BA136" s="20">
        <f>+BB136-AZ136</f>
        <v>481</v>
      </c>
      <c r="BB136" s="247">
        <v>948</v>
      </c>
      <c r="BC136" s="20">
        <f>+BD136-BB136</f>
        <v>472</v>
      </c>
      <c r="BD136" s="247">
        <v>1420</v>
      </c>
      <c r="BE136" s="20">
        <f>+BF136-BD136</f>
        <v>-1420</v>
      </c>
      <c r="BF136" s="277"/>
      <c r="BG136" s="41"/>
      <c r="BH136" s="41"/>
      <c r="BI136" s="41"/>
      <c r="BK136" s="41"/>
      <c r="BL136" s="41"/>
      <c r="BM136" s="41"/>
      <c r="BN136" s="41"/>
      <c r="BO136" s="41"/>
      <c r="BP136" s="41"/>
      <c r="BQ136" s="41"/>
    </row>
    <row r="137" spans="2:58" ht="14.25">
      <c r="B137" s="350" t="s">
        <v>533</v>
      </c>
      <c r="C137" s="177"/>
      <c r="D137" s="246">
        <v>443</v>
      </c>
      <c r="E137" s="20">
        <f>+F137-D137</f>
        <v>404</v>
      </c>
      <c r="F137" s="245">
        <v>847</v>
      </c>
      <c r="G137" s="20">
        <f>+H137-F137</f>
        <v>418</v>
      </c>
      <c r="H137" s="245">
        <v>1265</v>
      </c>
      <c r="I137" s="20">
        <f>+J137-H137</f>
        <v>375</v>
      </c>
      <c r="J137" s="272">
        <v>1640</v>
      </c>
      <c r="K137" s="177"/>
      <c r="L137" s="246">
        <v>443</v>
      </c>
      <c r="M137" s="20">
        <f>+N137-L137</f>
        <v>404</v>
      </c>
      <c r="N137" s="245">
        <v>847</v>
      </c>
      <c r="O137" s="20">
        <f>+P137-N137</f>
        <v>418</v>
      </c>
      <c r="P137" s="245">
        <v>1265</v>
      </c>
      <c r="Q137" s="20">
        <f>+R137-P137</f>
        <v>375</v>
      </c>
      <c r="R137" s="272">
        <v>1640</v>
      </c>
      <c r="S137" s="177"/>
      <c r="T137" s="246">
        <v>410</v>
      </c>
      <c r="U137" s="20">
        <f>+V137-T137</f>
        <v>390</v>
      </c>
      <c r="V137" s="245">
        <v>800</v>
      </c>
      <c r="W137" s="20">
        <f>+X137-V137</f>
        <v>369</v>
      </c>
      <c r="X137" s="245">
        <v>1169</v>
      </c>
      <c r="Y137" s="20">
        <f>+Z137-X137</f>
        <v>372</v>
      </c>
      <c r="Z137" s="272">
        <v>1541</v>
      </c>
      <c r="AA137" s="177"/>
      <c r="AB137" s="246">
        <v>410</v>
      </c>
      <c r="AC137" s="20">
        <f>+AD137-AB137</f>
        <v>390</v>
      </c>
      <c r="AD137" s="245">
        <v>800</v>
      </c>
      <c r="AE137" s="20">
        <f>+AF137-AD137</f>
        <v>369</v>
      </c>
      <c r="AF137" s="245">
        <v>1169</v>
      </c>
      <c r="AG137" s="20">
        <f>+AH137-AF137</f>
        <v>372</v>
      </c>
      <c r="AH137" s="272">
        <v>1541</v>
      </c>
      <c r="AI137" s="177"/>
      <c r="AJ137" s="253">
        <v>363</v>
      </c>
      <c r="AK137" s="20">
        <f>+AL137-AJ137</f>
        <v>442</v>
      </c>
      <c r="AL137" s="191">
        <v>805</v>
      </c>
      <c r="AM137" s="20">
        <f>+AN137-AL137</f>
        <v>448</v>
      </c>
      <c r="AN137" s="245">
        <v>1253</v>
      </c>
      <c r="AO137" s="20">
        <f>+AP137-AN137</f>
        <v>555</v>
      </c>
      <c r="AP137" s="272">
        <v>1808</v>
      </c>
      <c r="AQ137" s="177"/>
      <c r="AR137" s="246">
        <v>586</v>
      </c>
      <c r="AS137" s="20">
        <f>+AT137-AR137</f>
        <v>514</v>
      </c>
      <c r="AT137" s="245">
        <v>1100</v>
      </c>
      <c r="AU137" s="20">
        <f>+AV137-AT137</f>
        <v>454</v>
      </c>
      <c r="AV137" s="245">
        <v>1554</v>
      </c>
      <c r="AW137" s="20">
        <f>+AX137-AV137</f>
        <v>254</v>
      </c>
      <c r="AX137" s="272">
        <v>1808</v>
      </c>
      <c r="AY137" s="177"/>
      <c r="AZ137" s="246">
        <v>479</v>
      </c>
      <c r="BA137" s="20">
        <f>+BB137-AZ137</f>
        <v>669</v>
      </c>
      <c r="BB137" s="245">
        <v>1148</v>
      </c>
      <c r="BC137" s="20">
        <f>+BD137-BB137</f>
        <v>510</v>
      </c>
      <c r="BD137" s="245">
        <v>1658</v>
      </c>
      <c r="BE137" s="20">
        <f>+BF137-BD137</f>
        <v>-1658</v>
      </c>
      <c r="BF137" s="272"/>
    </row>
    <row r="138" spans="2:58" ht="12.75">
      <c r="B138" s="351" t="s">
        <v>532</v>
      </c>
      <c r="C138" s="177"/>
      <c r="D138" s="354">
        <f>+D136+D137</f>
        <v>798</v>
      </c>
      <c r="E138" s="355">
        <f aca="true" t="shared" si="118" ref="E138:J138">+E136+E137</f>
        <v>752</v>
      </c>
      <c r="F138" s="355">
        <f t="shared" si="118"/>
        <v>1550</v>
      </c>
      <c r="G138" s="355">
        <f t="shared" si="118"/>
        <v>975</v>
      </c>
      <c r="H138" s="355">
        <f t="shared" si="118"/>
        <v>2525</v>
      </c>
      <c r="I138" s="355">
        <f t="shared" si="118"/>
        <v>1055</v>
      </c>
      <c r="J138" s="356">
        <f t="shared" si="118"/>
        <v>3580</v>
      </c>
      <c r="K138" s="177"/>
      <c r="L138" s="354">
        <f aca="true" t="shared" si="119" ref="L138:R138">+L136+L137</f>
        <v>798</v>
      </c>
      <c r="M138" s="292">
        <f t="shared" si="119"/>
        <v>752</v>
      </c>
      <c r="N138" s="355">
        <f t="shared" si="119"/>
        <v>1550</v>
      </c>
      <c r="O138" s="292">
        <f t="shared" si="119"/>
        <v>975</v>
      </c>
      <c r="P138" s="355">
        <f t="shared" si="119"/>
        <v>2525</v>
      </c>
      <c r="Q138" s="292">
        <f t="shared" si="119"/>
        <v>1055</v>
      </c>
      <c r="R138" s="356">
        <f t="shared" si="119"/>
        <v>3580</v>
      </c>
      <c r="S138" s="177"/>
      <c r="T138" s="354">
        <f aca="true" t="shared" si="120" ref="T138:Z138">+T136+T137</f>
        <v>1049</v>
      </c>
      <c r="U138" s="292">
        <f t="shared" si="120"/>
        <v>941</v>
      </c>
      <c r="V138" s="355">
        <f t="shared" si="120"/>
        <v>1990</v>
      </c>
      <c r="W138" s="292">
        <f t="shared" si="120"/>
        <v>1085</v>
      </c>
      <c r="X138" s="355">
        <f t="shared" si="120"/>
        <v>3075</v>
      </c>
      <c r="Y138" s="292">
        <f t="shared" si="120"/>
        <v>1086</v>
      </c>
      <c r="Z138" s="356">
        <f t="shared" si="120"/>
        <v>4161</v>
      </c>
      <c r="AA138" s="177"/>
      <c r="AB138" s="354">
        <f aca="true" t="shared" si="121" ref="AB138:AH138">+AB136+AB137</f>
        <v>1049</v>
      </c>
      <c r="AC138" s="292">
        <f t="shared" si="121"/>
        <v>941</v>
      </c>
      <c r="AD138" s="355">
        <f t="shared" si="121"/>
        <v>1990</v>
      </c>
      <c r="AE138" s="292">
        <f t="shared" si="121"/>
        <v>1085</v>
      </c>
      <c r="AF138" s="355">
        <f t="shared" si="121"/>
        <v>3075</v>
      </c>
      <c r="AG138" s="292">
        <f t="shared" si="121"/>
        <v>1086</v>
      </c>
      <c r="AH138" s="356">
        <f t="shared" si="121"/>
        <v>4161</v>
      </c>
      <c r="AI138" s="177"/>
      <c r="AJ138" s="352">
        <f aca="true" t="shared" si="122" ref="AJ138:AP138">+AJ136+AJ137</f>
        <v>1028</v>
      </c>
      <c r="AK138" s="292">
        <f t="shared" si="122"/>
        <v>1097</v>
      </c>
      <c r="AL138" s="353">
        <f t="shared" si="122"/>
        <v>2125</v>
      </c>
      <c r="AM138" s="292">
        <f t="shared" si="122"/>
        <v>1081</v>
      </c>
      <c r="AN138" s="355">
        <f t="shared" si="122"/>
        <v>3206</v>
      </c>
      <c r="AO138" s="292">
        <f t="shared" si="122"/>
        <v>1148</v>
      </c>
      <c r="AP138" s="356">
        <f t="shared" si="122"/>
        <v>4354</v>
      </c>
      <c r="AQ138" s="177"/>
      <c r="AR138" s="354">
        <f aca="true" t="shared" si="123" ref="AR138:AX138">+AR136+AR137</f>
        <v>1147</v>
      </c>
      <c r="AS138" s="292">
        <f t="shared" si="123"/>
        <v>1078</v>
      </c>
      <c r="AT138" s="292">
        <f t="shared" si="123"/>
        <v>2225</v>
      </c>
      <c r="AU138" s="292">
        <f t="shared" si="123"/>
        <v>996</v>
      </c>
      <c r="AV138" s="292">
        <f t="shared" si="123"/>
        <v>3221</v>
      </c>
      <c r="AW138" s="292">
        <f t="shared" si="123"/>
        <v>750</v>
      </c>
      <c r="AX138" s="457">
        <f t="shared" si="123"/>
        <v>3971</v>
      </c>
      <c r="AY138" s="177"/>
      <c r="AZ138" s="459">
        <f>+AZ136+AZ137</f>
        <v>946</v>
      </c>
      <c r="BA138" s="292">
        <f aca="true" t="shared" si="124" ref="BA138:BF138">+BA136+BA137</f>
        <v>1150</v>
      </c>
      <c r="BB138" s="292">
        <f t="shared" si="124"/>
        <v>2096</v>
      </c>
      <c r="BC138" s="292">
        <f t="shared" si="124"/>
        <v>982</v>
      </c>
      <c r="BD138" s="292">
        <f t="shared" si="124"/>
        <v>3078</v>
      </c>
      <c r="BE138" s="292">
        <f t="shared" si="124"/>
        <v>-3078</v>
      </c>
      <c r="BF138" s="457">
        <f t="shared" si="124"/>
        <v>0</v>
      </c>
    </row>
    <row r="139" spans="5:51" ht="12.75">
      <c r="E139" s="318"/>
      <c r="F139" s="318"/>
      <c r="G139" s="318"/>
      <c r="H139" s="318"/>
      <c r="I139" s="318"/>
      <c r="J139" s="318"/>
      <c r="K139" s="318"/>
      <c r="L139" s="318"/>
      <c r="M139" s="318"/>
      <c r="N139" s="318"/>
      <c r="O139" s="318"/>
      <c r="P139" s="318"/>
      <c r="Q139" s="318"/>
      <c r="R139" s="318"/>
      <c r="S139" s="318"/>
      <c r="T139" s="318"/>
      <c r="U139" s="318"/>
      <c r="V139" s="318"/>
      <c r="W139" s="318"/>
      <c r="X139" s="318"/>
      <c r="Y139" s="318"/>
      <c r="Z139" s="318"/>
      <c r="AA139" s="318"/>
      <c r="AB139" s="318"/>
      <c r="AC139" s="318"/>
      <c r="AD139" s="318"/>
      <c r="AE139" s="318"/>
      <c r="AF139" s="318"/>
      <c r="AG139" s="318"/>
      <c r="AH139" s="318"/>
      <c r="AI139" s="318"/>
      <c r="AJ139" s="318"/>
      <c r="AK139" s="318"/>
      <c r="AL139" s="318"/>
      <c r="AM139" s="318"/>
      <c r="AN139" s="318"/>
      <c r="AO139" s="318"/>
      <c r="AP139" s="318"/>
      <c r="AQ139" s="318"/>
      <c r="AR139" s="318"/>
      <c r="AS139" s="318"/>
      <c r="AT139" s="318"/>
      <c r="AU139" s="318"/>
      <c r="AV139" s="318"/>
      <c r="AW139" s="318"/>
      <c r="AX139" s="318"/>
      <c r="AY139" s="318"/>
    </row>
    <row r="140" spans="2:51" ht="12.75">
      <c r="B140" s="361" t="s">
        <v>372</v>
      </c>
      <c r="E140" s="317"/>
      <c r="F140" s="317"/>
      <c r="G140" s="317"/>
      <c r="H140" s="317"/>
      <c r="I140" s="317"/>
      <c r="J140" s="317"/>
      <c r="K140" s="317"/>
      <c r="L140" s="317"/>
      <c r="M140" s="317"/>
      <c r="N140" s="317"/>
      <c r="O140" s="317"/>
      <c r="P140" s="317"/>
      <c r="Q140" s="317"/>
      <c r="R140" s="317"/>
      <c r="S140" s="317"/>
      <c r="T140" s="317"/>
      <c r="U140" s="317"/>
      <c r="V140" s="317"/>
      <c r="W140" s="317"/>
      <c r="X140" s="317"/>
      <c r="Y140" s="317"/>
      <c r="Z140" s="317"/>
      <c r="AA140" s="317"/>
      <c r="AB140" s="317"/>
      <c r="AC140" s="317"/>
      <c r="AD140" s="317"/>
      <c r="AE140" s="317"/>
      <c r="AF140" s="317"/>
      <c r="AG140" s="317"/>
      <c r="AH140" s="317"/>
      <c r="AI140" s="317"/>
      <c r="AJ140" s="317"/>
      <c r="AK140" s="317"/>
      <c r="AL140" s="317"/>
      <c r="AM140" s="317"/>
      <c r="AN140" s="317"/>
      <c r="AO140" s="317"/>
      <c r="AP140" s="317"/>
      <c r="AQ140" s="317"/>
      <c r="AR140" s="317"/>
      <c r="AS140" s="317"/>
      <c r="AT140" s="317"/>
      <c r="AU140" s="317"/>
      <c r="AV140" s="317"/>
      <c r="AW140" s="317"/>
      <c r="AX140" s="317"/>
      <c r="AY140" s="317"/>
    </row>
    <row r="141" spans="2:10" ht="12.75">
      <c r="B141" s="362" t="s">
        <v>374</v>
      </c>
      <c r="E141" s="41"/>
      <c r="F141" s="41"/>
      <c r="G141" s="41"/>
      <c r="H141" s="41"/>
      <c r="I141" s="41"/>
      <c r="J141" s="41"/>
    </row>
    <row r="142" spans="2:51" ht="12.75">
      <c r="B142" s="363" t="s">
        <v>534</v>
      </c>
      <c r="C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row>
    <row r="143" ht="12.75">
      <c r="B143" s="364" t="s">
        <v>531</v>
      </c>
    </row>
    <row r="144" ht="12.75">
      <c r="B144" s="363" t="s">
        <v>544</v>
      </c>
    </row>
    <row r="145" spans="2:20" ht="12.75">
      <c r="B145" s="364" t="s">
        <v>546</v>
      </c>
      <c r="T145" s="41"/>
    </row>
    <row r="146" ht="12.75">
      <c r="T146" s="41"/>
    </row>
    <row r="147" ht="12.75">
      <c r="T147" s="41"/>
    </row>
    <row r="148" ht="12.75">
      <c r="T148" s="41"/>
    </row>
    <row r="149" ht="12.75">
      <c r="T149" s="41"/>
    </row>
    <row r="150" ht="12.75">
      <c r="T150" s="41"/>
    </row>
    <row r="151" ht="12.75">
      <c r="T151" s="41"/>
    </row>
    <row r="152" ht="12.75">
      <c r="T152" s="41"/>
    </row>
    <row r="153" ht="12.75">
      <c r="T153" s="41"/>
    </row>
    <row r="154" ht="12.75">
      <c r="T154" s="41"/>
    </row>
    <row r="155" ht="12.75">
      <c r="T155" s="41"/>
    </row>
    <row r="156" ht="12.75">
      <c r="T156" s="41"/>
    </row>
    <row r="157" ht="12.75">
      <c r="T157" s="41"/>
    </row>
    <row r="158" ht="12.75">
      <c r="T158" s="41"/>
    </row>
    <row r="159" ht="12.75">
      <c r="T159" s="41"/>
    </row>
    <row r="160" ht="12.75">
      <c r="T160" s="41"/>
    </row>
    <row r="161" ht="12.75">
      <c r="T161" s="41"/>
    </row>
    <row r="162" ht="12.75">
      <c r="T162" s="41"/>
    </row>
    <row r="163" ht="12.75">
      <c r="T163" s="41"/>
    </row>
    <row r="164" ht="12.75">
      <c r="T164" s="41"/>
    </row>
    <row r="165" ht="12.75">
      <c r="T165" s="41"/>
    </row>
    <row r="166" ht="12.75">
      <c r="T166" s="41"/>
    </row>
    <row r="167" ht="12.75">
      <c r="T167" s="41"/>
    </row>
    <row r="168" ht="12.75">
      <c r="T168" s="41"/>
    </row>
    <row r="169" ht="12.75">
      <c r="T169" s="41"/>
    </row>
    <row r="170" ht="12.75">
      <c r="T170" s="41"/>
    </row>
    <row r="171" ht="12.75">
      <c r="T171" s="41"/>
    </row>
    <row r="172" ht="12.75">
      <c r="T172" s="41"/>
    </row>
    <row r="173" ht="12.75">
      <c r="T173" s="41"/>
    </row>
    <row r="174" ht="12.75">
      <c r="T174" s="41"/>
    </row>
    <row r="175" ht="12.75">
      <c r="T175" s="41"/>
    </row>
    <row r="176" ht="12.75">
      <c r="T176" s="41"/>
    </row>
    <row r="177" ht="12.75">
      <c r="T177" s="41"/>
    </row>
    <row r="178" ht="12.75">
      <c r="T178" s="41"/>
    </row>
    <row r="179" ht="12.75">
      <c r="T179" s="41"/>
    </row>
    <row r="180" ht="12.75">
      <c r="T180" s="41"/>
    </row>
    <row r="181" ht="12.75">
      <c r="T181" s="41"/>
    </row>
    <row r="182" ht="12.75">
      <c r="T182" s="41"/>
    </row>
    <row r="183" ht="12.75">
      <c r="T183" s="41"/>
    </row>
    <row r="184" ht="12.75">
      <c r="T184" s="41"/>
    </row>
    <row r="185" ht="12.75">
      <c r="T185" s="41"/>
    </row>
    <row r="186" ht="12.75">
      <c r="T186" s="41"/>
    </row>
    <row r="187" ht="12.75">
      <c r="T187" s="41"/>
    </row>
    <row r="188" ht="12.75">
      <c r="T188" s="41"/>
    </row>
    <row r="189" ht="12.75">
      <c r="T189" s="41"/>
    </row>
    <row r="190" ht="12.75">
      <c r="T190" s="41"/>
    </row>
    <row r="191" ht="12.75">
      <c r="T191" s="41"/>
    </row>
    <row r="192" ht="12.75">
      <c r="T192" s="41"/>
    </row>
    <row r="193" ht="12.75">
      <c r="T193" s="41"/>
    </row>
    <row r="194" ht="12.75">
      <c r="T194" s="41"/>
    </row>
    <row r="195" ht="12.75">
      <c r="T195" s="41"/>
    </row>
    <row r="196" ht="12.75">
      <c r="T196" s="41"/>
    </row>
    <row r="197" ht="12.75">
      <c r="T197" s="41"/>
    </row>
    <row r="198" ht="12.75">
      <c r="T198" s="41"/>
    </row>
    <row r="199" ht="12.75">
      <c r="T199" s="41"/>
    </row>
    <row r="200" ht="12.75">
      <c r="T200" s="41"/>
    </row>
    <row r="201" ht="12.75">
      <c r="T201" s="41"/>
    </row>
    <row r="202" ht="12.75">
      <c r="T202" s="41"/>
    </row>
    <row r="203" ht="12.75">
      <c r="T203" s="41"/>
    </row>
    <row r="204" ht="12.75">
      <c r="T204" s="41"/>
    </row>
    <row r="205" ht="12.75">
      <c r="T205" s="41"/>
    </row>
    <row r="206" ht="12.75">
      <c r="T206" s="41"/>
    </row>
    <row r="207" ht="12.75">
      <c r="T207" s="41"/>
    </row>
    <row r="208" ht="12.75">
      <c r="T208" s="41"/>
    </row>
    <row r="209" ht="12.75">
      <c r="T209" s="41"/>
    </row>
    <row r="210" ht="12.75">
      <c r="T210" s="41"/>
    </row>
    <row r="211" ht="12.75">
      <c r="T211" s="41"/>
    </row>
    <row r="212" ht="12.75">
      <c r="T212" s="41"/>
    </row>
    <row r="213" ht="12.75">
      <c r="T213" s="41"/>
    </row>
    <row r="214" ht="12.75">
      <c r="T214" s="41"/>
    </row>
    <row r="215" ht="12.75">
      <c r="T215" s="41"/>
    </row>
    <row r="216" ht="12.75">
      <c r="T216" s="41"/>
    </row>
    <row r="217" ht="12.75">
      <c r="T217" s="41"/>
    </row>
    <row r="218" ht="12.75">
      <c r="T218" s="41"/>
    </row>
    <row r="219" ht="12.75">
      <c r="T219" s="41"/>
    </row>
    <row r="220" ht="12.75">
      <c r="T220" s="41"/>
    </row>
    <row r="221" ht="12.75">
      <c r="T221" s="41"/>
    </row>
    <row r="222" ht="12.75">
      <c r="T222" s="41"/>
    </row>
    <row r="223" ht="12.75">
      <c r="T223" s="41"/>
    </row>
    <row r="224" ht="12.75">
      <c r="T224" s="41"/>
    </row>
    <row r="225" ht="12.75">
      <c r="T225" s="41"/>
    </row>
    <row r="226" ht="12.75">
      <c r="T226" s="41"/>
    </row>
    <row r="227" ht="12.75">
      <c r="T227" s="41"/>
    </row>
    <row r="228" ht="12.75">
      <c r="T228" s="41"/>
    </row>
    <row r="229" ht="12.75">
      <c r="T229" s="41"/>
    </row>
    <row r="230" ht="12.75">
      <c r="T230" s="41"/>
    </row>
    <row r="231" ht="12.75">
      <c r="T231" s="41"/>
    </row>
    <row r="232" ht="12.75">
      <c r="T232" s="41"/>
    </row>
    <row r="233" ht="12.75">
      <c r="T233" s="41"/>
    </row>
    <row r="234" ht="12.75">
      <c r="T234" s="41"/>
    </row>
    <row r="235" ht="12.75">
      <c r="T235" s="41"/>
    </row>
    <row r="236" ht="12.75">
      <c r="T236" s="41"/>
    </row>
    <row r="237" ht="12.75">
      <c r="T237" s="41"/>
    </row>
    <row r="238" ht="12.75">
      <c r="T238" s="41"/>
    </row>
    <row r="239" ht="12.75">
      <c r="T239" s="41"/>
    </row>
    <row r="240" ht="12.75">
      <c r="T240" s="41"/>
    </row>
    <row r="241" ht="12.75">
      <c r="T241" s="41"/>
    </row>
    <row r="242" ht="12.75">
      <c r="T242" s="41"/>
    </row>
    <row r="243" ht="12.75">
      <c r="T243" s="41"/>
    </row>
    <row r="244" ht="12.75">
      <c r="T244" s="41"/>
    </row>
    <row r="245" ht="12.75">
      <c r="T245" s="41"/>
    </row>
    <row r="246" ht="12.75">
      <c r="T246" s="41"/>
    </row>
    <row r="247" ht="12.75">
      <c r="T247" s="41"/>
    </row>
    <row r="248" ht="12.75">
      <c r="T248" s="41"/>
    </row>
    <row r="249" ht="12.75">
      <c r="T249" s="41"/>
    </row>
    <row r="250" ht="12.75">
      <c r="T250" s="41"/>
    </row>
    <row r="251" ht="12.75">
      <c r="T251" s="41"/>
    </row>
    <row r="252" ht="12.75">
      <c r="T252" s="41"/>
    </row>
    <row r="253" ht="12.75">
      <c r="T253" s="41"/>
    </row>
    <row r="254" ht="12.75">
      <c r="T254" s="41"/>
    </row>
    <row r="255" ht="12.75">
      <c r="T255" s="41"/>
    </row>
    <row r="256" ht="12.75">
      <c r="T256" s="41"/>
    </row>
    <row r="257" ht="12.75">
      <c r="T257" s="41"/>
    </row>
    <row r="258" ht="12.75">
      <c r="T258" s="41"/>
    </row>
    <row r="259" ht="12.75">
      <c r="T259" s="41"/>
    </row>
    <row r="260" ht="12.75">
      <c r="T260" s="41"/>
    </row>
    <row r="261" ht="12.75">
      <c r="T261" s="41"/>
    </row>
    <row r="262" ht="12.75">
      <c r="T262" s="41"/>
    </row>
    <row r="263" ht="12.75">
      <c r="T263" s="41"/>
    </row>
    <row r="264" ht="12.75">
      <c r="T264" s="41"/>
    </row>
    <row r="265" ht="12.75">
      <c r="T265" s="41"/>
    </row>
    <row r="266" ht="12.75">
      <c r="T266" s="41"/>
    </row>
    <row r="267" ht="12.75">
      <c r="T267" s="41"/>
    </row>
    <row r="268" ht="12.75">
      <c r="T268" s="41"/>
    </row>
    <row r="269" ht="12.75">
      <c r="T269" s="41"/>
    </row>
    <row r="270" ht="12.75">
      <c r="T270" s="41"/>
    </row>
    <row r="271" ht="12.75">
      <c r="T271" s="41"/>
    </row>
    <row r="272" ht="12.75">
      <c r="T272" s="41"/>
    </row>
    <row r="273" ht="12.75">
      <c r="T273" s="41"/>
    </row>
    <row r="274" ht="12.75">
      <c r="T274" s="41"/>
    </row>
    <row r="275" ht="12.75">
      <c r="T275" s="41"/>
    </row>
    <row r="276" ht="12.75">
      <c r="T276" s="41"/>
    </row>
    <row r="277" ht="12.75">
      <c r="T277" s="41"/>
    </row>
    <row r="278" ht="12.75">
      <c r="T278" s="41"/>
    </row>
    <row r="279" ht="12.75">
      <c r="T279" s="41"/>
    </row>
    <row r="280" ht="12.75">
      <c r="T280" s="41"/>
    </row>
    <row r="281" ht="12.75">
      <c r="T281" s="41"/>
    </row>
    <row r="282" ht="12.75">
      <c r="T282" s="41"/>
    </row>
    <row r="283" ht="12.75">
      <c r="T283" s="41"/>
    </row>
    <row r="284" ht="12.75">
      <c r="T284" s="41"/>
    </row>
    <row r="285" ht="12.75">
      <c r="T285" s="41"/>
    </row>
    <row r="286" ht="12.75">
      <c r="T286" s="41"/>
    </row>
    <row r="287" ht="12.75">
      <c r="T287" s="41"/>
    </row>
    <row r="288" ht="12.75">
      <c r="T288" s="41"/>
    </row>
    <row r="289" ht="12.75">
      <c r="T289" s="41"/>
    </row>
    <row r="290" ht="12.75">
      <c r="T290" s="41"/>
    </row>
    <row r="291" ht="12.75">
      <c r="T291" s="41"/>
    </row>
    <row r="292" ht="12.75">
      <c r="T292" s="41"/>
    </row>
    <row r="293" ht="12.75">
      <c r="T293" s="41"/>
    </row>
    <row r="294" ht="12.75">
      <c r="T294" s="41"/>
    </row>
    <row r="295" ht="12.75">
      <c r="T295" s="41"/>
    </row>
    <row r="296" ht="12.75">
      <c r="T296" s="41"/>
    </row>
    <row r="297" ht="12.75">
      <c r="T297" s="41"/>
    </row>
    <row r="298" ht="12.75">
      <c r="T298" s="41"/>
    </row>
    <row r="299" ht="12.75">
      <c r="T299" s="41"/>
    </row>
    <row r="300" ht="12.75">
      <c r="T300" s="41"/>
    </row>
    <row r="301" ht="12.75">
      <c r="T301" s="41"/>
    </row>
    <row r="302" ht="12.75">
      <c r="T302" s="41"/>
    </row>
    <row r="303" ht="12.75">
      <c r="T303" s="41"/>
    </row>
    <row r="304" ht="12.75">
      <c r="T304" s="41"/>
    </row>
    <row r="305" ht="12.75">
      <c r="T305" s="41"/>
    </row>
    <row r="306" ht="12.75">
      <c r="T306" s="41"/>
    </row>
    <row r="307" ht="12.75">
      <c r="T307" s="41"/>
    </row>
    <row r="308" ht="12.75">
      <c r="T308" s="41"/>
    </row>
    <row r="309" ht="12.75">
      <c r="T309" s="41"/>
    </row>
    <row r="310" ht="12.75">
      <c r="T310" s="41"/>
    </row>
    <row r="311" ht="12.75">
      <c r="T311" s="41"/>
    </row>
    <row r="312" ht="12.75">
      <c r="T312" s="41"/>
    </row>
    <row r="313" ht="12.75">
      <c r="T313" s="41"/>
    </row>
    <row r="314" ht="12.75">
      <c r="T314" s="41"/>
    </row>
    <row r="315" ht="12.75">
      <c r="T315" s="41"/>
    </row>
    <row r="316" ht="12.75">
      <c r="T316" s="41"/>
    </row>
    <row r="317" ht="12.75">
      <c r="T317" s="41"/>
    </row>
    <row r="318" ht="12.75">
      <c r="T318" s="41"/>
    </row>
    <row r="319" ht="12.75">
      <c r="T319" s="41"/>
    </row>
    <row r="320" ht="12.75">
      <c r="T320" s="41"/>
    </row>
    <row r="321" ht="12.75">
      <c r="T321" s="41"/>
    </row>
    <row r="322" ht="12.75">
      <c r="T322" s="41"/>
    </row>
    <row r="323" ht="12.75">
      <c r="T323" s="41"/>
    </row>
    <row r="324" ht="12.75">
      <c r="T324" s="41"/>
    </row>
    <row r="325" ht="12.75">
      <c r="T325" s="41"/>
    </row>
    <row r="326" ht="12.75">
      <c r="T326" s="41"/>
    </row>
    <row r="327" ht="12.75">
      <c r="T327" s="41"/>
    </row>
    <row r="328" ht="12.75">
      <c r="T328" s="41"/>
    </row>
    <row r="329" ht="12.75">
      <c r="T329" s="41"/>
    </row>
    <row r="330" ht="12.75">
      <c r="T330" s="41"/>
    </row>
    <row r="331" ht="12.75">
      <c r="T331" s="41"/>
    </row>
    <row r="332" ht="12.75">
      <c r="T332" s="41"/>
    </row>
    <row r="333" ht="12.75">
      <c r="T333" s="41"/>
    </row>
    <row r="334" ht="12.75">
      <c r="T334" s="41"/>
    </row>
    <row r="335" ht="12.75">
      <c r="T335" s="41"/>
    </row>
    <row r="336" ht="12.75">
      <c r="T336" s="41"/>
    </row>
    <row r="337" ht="12.75">
      <c r="T337" s="41"/>
    </row>
    <row r="338" ht="12.75">
      <c r="T338" s="41"/>
    </row>
    <row r="339" ht="12.75">
      <c r="T339" s="41"/>
    </row>
    <row r="340" ht="12.75">
      <c r="T340" s="41"/>
    </row>
    <row r="341" ht="12.75">
      <c r="T341" s="41"/>
    </row>
    <row r="342" ht="12.75">
      <c r="T342" s="41"/>
    </row>
    <row r="343" ht="12.75">
      <c r="T343" s="41"/>
    </row>
    <row r="344" ht="12.75">
      <c r="T344" s="41"/>
    </row>
    <row r="345" ht="12.75">
      <c r="T345" s="41"/>
    </row>
    <row r="346" ht="12.75">
      <c r="T346" s="41"/>
    </row>
    <row r="347" ht="12.75">
      <c r="T347" s="41"/>
    </row>
    <row r="348" ht="12.75">
      <c r="T348" s="41"/>
    </row>
    <row r="349" ht="12.75">
      <c r="T349" s="41"/>
    </row>
    <row r="350" ht="12.75">
      <c r="T350" s="41"/>
    </row>
    <row r="351" ht="12.75">
      <c r="T351" s="41"/>
    </row>
    <row r="352" ht="12.75">
      <c r="T352" s="41"/>
    </row>
    <row r="353" ht="12.75">
      <c r="T353" s="41"/>
    </row>
    <row r="354" ht="12.75">
      <c r="T354" s="41"/>
    </row>
    <row r="355" ht="12.75">
      <c r="T355" s="41"/>
    </row>
    <row r="356" ht="12.75">
      <c r="T356" s="41"/>
    </row>
    <row r="357" ht="12.75">
      <c r="T357" s="41"/>
    </row>
    <row r="358" ht="12.75">
      <c r="T358" s="41"/>
    </row>
    <row r="359" ht="12.75">
      <c r="T359" s="41"/>
    </row>
    <row r="360" ht="12.75">
      <c r="T360" s="41"/>
    </row>
    <row r="361" ht="12.75">
      <c r="T361" s="41"/>
    </row>
    <row r="362" ht="12.75">
      <c r="T362" s="41"/>
    </row>
    <row r="363" ht="12.75">
      <c r="T363" s="41"/>
    </row>
    <row r="364" ht="12.75">
      <c r="T364" s="41"/>
    </row>
    <row r="365" ht="12.75">
      <c r="T365" s="41"/>
    </row>
    <row r="366" ht="12.75">
      <c r="T366" s="41"/>
    </row>
    <row r="367" ht="12.75">
      <c r="T367" s="41"/>
    </row>
    <row r="368" ht="12.75">
      <c r="T368" s="41"/>
    </row>
    <row r="369" ht="12.75">
      <c r="T369" s="41"/>
    </row>
    <row r="370" ht="12.75">
      <c r="T370" s="41"/>
    </row>
    <row r="371" ht="12.75">
      <c r="T371" s="41"/>
    </row>
    <row r="372" ht="12.75">
      <c r="T372" s="41"/>
    </row>
    <row r="373" ht="12.75">
      <c r="T373" s="41"/>
    </row>
    <row r="374" ht="12.75">
      <c r="T374" s="41"/>
    </row>
    <row r="375" ht="12.75">
      <c r="T375" s="41"/>
    </row>
    <row r="376" ht="12.75">
      <c r="T376" s="41"/>
    </row>
    <row r="377" ht="12.75">
      <c r="T377" s="41"/>
    </row>
    <row r="378" ht="12.75">
      <c r="T378" s="41"/>
    </row>
    <row r="379" ht="12.75">
      <c r="T379" s="41"/>
    </row>
    <row r="380" ht="12.75">
      <c r="T380" s="41"/>
    </row>
    <row r="381" ht="12.75">
      <c r="T381" s="41"/>
    </row>
    <row r="382" ht="12.75">
      <c r="T382" s="41"/>
    </row>
    <row r="383" ht="12.75">
      <c r="T383" s="41"/>
    </row>
    <row r="384" ht="12.75">
      <c r="T384" s="41"/>
    </row>
    <row r="385" ht="12.75">
      <c r="T385" s="41"/>
    </row>
    <row r="386" ht="12.75">
      <c r="T386" s="41"/>
    </row>
    <row r="387" ht="12.75">
      <c r="T387" s="41"/>
    </row>
    <row r="388" ht="12.75">
      <c r="T388" s="41"/>
    </row>
    <row r="389" ht="12.75">
      <c r="T389" s="41"/>
    </row>
    <row r="390" ht="12.75">
      <c r="T390" s="41"/>
    </row>
    <row r="391" ht="12.75">
      <c r="T391" s="41"/>
    </row>
    <row r="392" ht="12.75">
      <c r="T392" s="41"/>
    </row>
    <row r="393" ht="12.75">
      <c r="T393" s="41"/>
    </row>
    <row r="394" ht="12.75">
      <c r="T394" s="41"/>
    </row>
    <row r="395" ht="12.75">
      <c r="T395" s="41"/>
    </row>
    <row r="396" ht="12.75">
      <c r="T396" s="41"/>
    </row>
    <row r="397" ht="12.75">
      <c r="T397" s="41"/>
    </row>
    <row r="398" ht="12.75">
      <c r="T398" s="41"/>
    </row>
    <row r="399" ht="12.75">
      <c r="T399" s="41"/>
    </row>
    <row r="400" ht="12.75">
      <c r="T400" s="41"/>
    </row>
    <row r="401" ht="12.75">
      <c r="T401" s="41"/>
    </row>
    <row r="402" ht="12.75">
      <c r="T402" s="41"/>
    </row>
    <row r="403" ht="12.75">
      <c r="T403" s="41"/>
    </row>
    <row r="404" ht="12.75">
      <c r="T404" s="41"/>
    </row>
    <row r="405" ht="12.75">
      <c r="T405" s="41"/>
    </row>
    <row r="406" ht="12.75">
      <c r="T406" s="41"/>
    </row>
    <row r="407" ht="12.75">
      <c r="T407" s="41"/>
    </row>
    <row r="408" ht="12.75">
      <c r="T408" s="41"/>
    </row>
    <row r="409" ht="12.75">
      <c r="T409" s="41"/>
    </row>
    <row r="410" ht="12.75">
      <c r="T410" s="41"/>
    </row>
    <row r="411" ht="12.75">
      <c r="T411" s="41"/>
    </row>
    <row r="412" ht="12.75">
      <c r="T412" s="41"/>
    </row>
    <row r="413" ht="12.75">
      <c r="T413" s="41"/>
    </row>
    <row r="414" ht="12.75">
      <c r="T414" s="41"/>
    </row>
    <row r="415" ht="12.75">
      <c r="T415" s="41"/>
    </row>
    <row r="416" ht="12.75">
      <c r="T416" s="41"/>
    </row>
    <row r="417" ht="12.75">
      <c r="T417" s="41"/>
    </row>
    <row r="418" ht="12.75">
      <c r="T418" s="41"/>
    </row>
    <row r="419" ht="12.75">
      <c r="T419" s="41"/>
    </row>
    <row r="420" ht="12.75">
      <c r="T420" s="41"/>
    </row>
    <row r="421" ht="12.75">
      <c r="T421" s="41"/>
    </row>
    <row r="422" ht="12.75">
      <c r="T422" s="41"/>
    </row>
    <row r="423" ht="12.75">
      <c r="T423" s="41"/>
    </row>
    <row r="424" ht="12.75">
      <c r="T424" s="41"/>
    </row>
    <row r="425" ht="12.75">
      <c r="T425" s="41"/>
    </row>
    <row r="426" ht="12.75">
      <c r="T426" s="41"/>
    </row>
    <row r="427" ht="12.75">
      <c r="T427" s="41"/>
    </row>
    <row r="428" ht="12.75">
      <c r="T428" s="41"/>
    </row>
    <row r="429" ht="12.75">
      <c r="T429" s="41"/>
    </row>
    <row r="430" ht="12.75">
      <c r="T430" s="41"/>
    </row>
    <row r="431" ht="12.75">
      <c r="T431" s="41"/>
    </row>
    <row r="432" ht="12.75">
      <c r="T432" s="41"/>
    </row>
    <row r="433" ht="12.75">
      <c r="T433" s="41"/>
    </row>
    <row r="434" ht="12.75">
      <c r="T434" s="41"/>
    </row>
    <row r="435" ht="12.75">
      <c r="T435" s="41"/>
    </row>
    <row r="436" ht="12.75">
      <c r="T436" s="41"/>
    </row>
    <row r="437" ht="12.75">
      <c r="T437" s="41"/>
    </row>
    <row r="438" ht="12.75">
      <c r="T438" s="41"/>
    </row>
    <row r="439" ht="12.75">
      <c r="T439" s="41"/>
    </row>
    <row r="440" ht="12.75">
      <c r="T440" s="41"/>
    </row>
    <row r="441" ht="12.75">
      <c r="T441" s="41"/>
    </row>
    <row r="442" ht="12.75">
      <c r="T442" s="41"/>
    </row>
    <row r="443" ht="12.75">
      <c r="T443" s="41"/>
    </row>
    <row r="444" ht="12.75">
      <c r="T444" s="41"/>
    </row>
    <row r="445" ht="12.75">
      <c r="T445" s="41"/>
    </row>
    <row r="446" ht="12.75">
      <c r="T446" s="41"/>
    </row>
    <row r="447" ht="12.75">
      <c r="T447" s="41"/>
    </row>
    <row r="448" ht="12.75">
      <c r="T448" s="41"/>
    </row>
    <row r="449" ht="12.75">
      <c r="T449" s="41"/>
    </row>
    <row r="450" ht="12.75">
      <c r="T450" s="41"/>
    </row>
    <row r="451" ht="12.75">
      <c r="T451" s="41"/>
    </row>
    <row r="452" ht="12.75">
      <c r="T452" s="41"/>
    </row>
    <row r="453" ht="12.75">
      <c r="T453" s="41"/>
    </row>
    <row r="454" ht="12.75">
      <c r="T454" s="41"/>
    </row>
    <row r="455" ht="12.75">
      <c r="T455" s="41"/>
    </row>
    <row r="456" ht="12.75">
      <c r="T456" s="41"/>
    </row>
    <row r="457" ht="12.75">
      <c r="T457" s="41"/>
    </row>
    <row r="458" ht="12.75">
      <c r="T458" s="41"/>
    </row>
    <row r="459" ht="12.75">
      <c r="T459" s="41"/>
    </row>
    <row r="460" ht="12.75">
      <c r="T460" s="41"/>
    </row>
    <row r="461" ht="12.75">
      <c r="T461" s="41"/>
    </row>
    <row r="462" ht="12.75">
      <c r="T462" s="41"/>
    </row>
    <row r="463" ht="12.75">
      <c r="T463" s="41"/>
    </row>
    <row r="464" ht="12.75">
      <c r="T464" s="41"/>
    </row>
    <row r="465" ht="12.75">
      <c r="T465" s="41"/>
    </row>
    <row r="466" ht="12.75">
      <c r="T466" s="41"/>
    </row>
    <row r="467" ht="12.75">
      <c r="T467" s="41"/>
    </row>
    <row r="468" ht="12.75">
      <c r="T468" s="41"/>
    </row>
    <row r="469" ht="12.75">
      <c r="T469" s="41"/>
    </row>
    <row r="470" ht="12.75">
      <c r="T470" s="41"/>
    </row>
    <row r="471" ht="12.75">
      <c r="T471" s="41"/>
    </row>
    <row r="472" ht="12.75">
      <c r="T472" s="41"/>
    </row>
    <row r="473" ht="12.75">
      <c r="T473" s="41"/>
    </row>
    <row r="474" ht="12.75">
      <c r="T474" s="41"/>
    </row>
    <row r="475" ht="12.75">
      <c r="T475" s="41"/>
    </row>
    <row r="476" ht="12.75">
      <c r="T476" s="41"/>
    </row>
    <row r="477" ht="12.75">
      <c r="T477" s="41"/>
    </row>
    <row r="478" ht="12.75">
      <c r="T478" s="41"/>
    </row>
    <row r="479" ht="12.75">
      <c r="T479" s="41"/>
    </row>
    <row r="480" ht="12.75">
      <c r="T480" s="41"/>
    </row>
    <row r="481" ht="12.75">
      <c r="T481" s="41"/>
    </row>
    <row r="482" ht="12.75">
      <c r="T482" s="41"/>
    </row>
    <row r="483" ht="12.75">
      <c r="T483" s="41"/>
    </row>
    <row r="484" ht="12.75">
      <c r="T484" s="41"/>
    </row>
    <row r="485" ht="12.75">
      <c r="T485" s="41"/>
    </row>
    <row r="486" ht="12.75">
      <c r="T486" s="41"/>
    </row>
    <row r="487" ht="12.75">
      <c r="T487" s="41"/>
    </row>
    <row r="488" ht="12.75">
      <c r="T488" s="41"/>
    </row>
    <row r="489" ht="12.75">
      <c r="T489" s="41"/>
    </row>
    <row r="490" ht="12.75">
      <c r="T490" s="41"/>
    </row>
    <row r="491" ht="12.75">
      <c r="T491" s="41"/>
    </row>
    <row r="492" ht="12.75">
      <c r="T492" s="41"/>
    </row>
    <row r="493" ht="12.75">
      <c r="T493" s="41"/>
    </row>
    <row r="494" ht="12.75">
      <c r="T494" s="41"/>
    </row>
    <row r="495" ht="12.75">
      <c r="T495" s="41"/>
    </row>
    <row r="496" ht="12.75">
      <c r="T496" s="41"/>
    </row>
    <row r="497" ht="12.75">
      <c r="T497" s="41"/>
    </row>
    <row r="498" ht="12.75">
      <c r="T498" s="41"/>
    </row>
    <row r="499" ht="12.75">
      <c r="T499" s="41"/>
    </row>
    <row r="500" ht="12.75">
      <c r="T500" s="41"/>
    </row>
    <row r="501" ht="12.75">
      <c r="T501" s="41"/>
    </row>
    <row r="502" ht="12.75">
      <c r="T502" s="41"/>
    </row>
    <row r="503" ht="12.75">
      <c r="T503" s="41"/>
    </row>
    <row r="504" ht="12.75">
      <c r="T504" s="41"/>
    </row>
    <row r="505" ht="12.75">
      <c r="T505" s="41"/>
    </row>
    <row r="506" ht="12.75">
      <c r="T506" s="41"/>
    </row>
    <row r="507" ht="12.75">
      <c r="T507" s="41"/>
    </row>
    <row r="508" ht="12.75">
      <c r="T508" s="41"/>
    </row>
    <row r="509" ht="12.75">
      <c r="T509" s="41"/>
    </row>
  </sheetData>
  <sheetProtection/>
  <mergeCells count="2">
    <mergeCell ref="AB3:AH3"/>
    <mergeCell ref="L3:R3"/>
  </mergeCells>
  <printOptions horizontalCentered="1" verticalCentered="1"/>
  <pageMargins left="0.35433070866141736" right="1.299212598425197" top="0.6692913385826772" bottom="0.984251968503937" header="0.5118110236220472" footer="0.5118110236220472"/>
  <pageSetup fitToHeight="2" horizontalDpi="600" verticalDpi="600" orientation="landscape" paperSize="9" scale="45" r:id="rId1"/>
  <rowBreaks count="1" manualBreakCount="1">
    <brk id="75" max="65" man="1"/>
  </rowBreaks>
  <colBreaks count="2" manualBreakCount="2">
    <brk id="18" max="131" man="1"/>
    <brk id="42" max="131" man="1"/>
  </colBreaks>
</worksheet>
</file>

<file path=xl/worksheets/sheet6.xml><?xml version="1.0" encoding="utf-8"?>
<worksheet xmlns="http://schemas.openxmlformats.org/spreadsheetml/2006/main" xmlns:r="http://schemas.openxmlformats.org/officeDocument/2006/relationships">
  <dimension ref="A2:L39"/>
  <sheetViews>
    <sheetView zoomScalePageLayoutView="0" workbookViewId="0" topLeftCell="A13">
      <selection activeCell="A30" sqref="A30:D30"/>
    </sheetView>
  </sheetViews>
  <sheetFormatPr defaultColWidth="9.140625" defaultRowHeight="12.75"/>
  <cols>
    <col min="1" max="1" width="5.421875" style="464" customWidth="1"/>
    <col min="2" max="2" width="22.7109375" style="464" customWidth="1"/>
    <col min="3" max="3" width="14.57421875" style="464" customWidth="1"/>
    <col min="4" max="4" width="23.140625" style="464" customWidth="1"/>
    <col min="5" max="7" width="11.8515625" style="464" customWidth="1"/>
    <col min="8" max="8" width="16.421875" style="464" customWidth="1"/>
    <col min="9" max="9" width="12.8515625" style="465" customWidth="1"/>
    <col min="10" max="10" width="9.421875" style="465" customWidth="1"/>
    <col min="11" max="11" width="14.8515625" style="466" customWidth="1"/>
    <col min="12" max="12" width="14.28125" style="466" customWidth="1"/>
    <col min="13" max="16384" width="9.140625" style="464" customWidth="1"/>
  </cols>
  <sheetData>
    <row r="1" ht="15"/>
    <row r="2" spans="1:12" s="462" customFormat="1" ht="15.75">
      <c r="A2" s="461" t="s">
        <v>547</v>
      </c>
      <c r="F2" s="463"/>
      <c r="I2" s="463"/>
      <c r="J2" s="463"/>
      <c r="K2" s="463"/>
      <c r="L2" s="463"/>
    </row>
    <row r="3" spans="6:12" ht="15">
      <c r="F3" s="465"/>
      <c r="K3" s="465"/>
      <c r="L3" s="465"/>
    </row>
    <row r="4" ht="15.75" thickBot="1">
      <c r="I4" s="466"/>
    </row>
    <row r="5" spans="1:12" s="467" customFormat="1" ht="75.75" thickBot="1">
      <c r="A5" s="787" t="s">
        <v>360</v>
      </c>
      <c r="B5" s="788" t="s">
        <v>4</v>
      </c>
      <c r="C5" s="788" t="s">
        <v>44</v>
      </c>
      <c r="D5" s="788" t="s">
        <v>5</v>
      </c>
      <c r="E5" s="788" t="s">
        <v>45</v>
      </c>
      <c r="F5" s="788" t="s">
        <v>20</v>
      </c>
      <c r="G5" s="788" t="s">
        <v>46</v>
      </c>
      <c r="H5" s="788" t="s">
        <v>47</v>
      </c>
      <c r="I5" s="788" t="s">
        <v>301</v>
      </c>
      <c r="J5" s="789" t="s">
        <v>302</v>
      </c>
      <c r="K5" s="790" t="s">
        <v>303</v>
      </c>
      <c r="L5" s="791" t="s">
        <v>304</v>
      </c>
    </row>
    <row r="6" spans="1:12" ht="15">
      <c r="A6" s="468"/>
      <c r="B6" s="469"/>
      <c r="C6" s="470"/>
      <c r="D6" s="471"/>
      <c r="E6" s="470"/>
      <c r="F6" s="470"/>
      <c r="G6" s="470"/>
      <c r="H6" s="470"/>
      <c r="I6" s="471"/>
      <c r="J6" s="472"/>
      <c r="K6" s="473"/>
      <c r="L6" s="474"/>
    </row>
    <row r="7" spans="1:12" ht="15">
      <c r="A7" s="475">
        <v>1</v>
      </c>
      <c r="B7" s="464" t="s">
        <v>10</v>
      </c>
      <c r="C7" s="476" t="s">
        <v>53</v>
      </c>
      <c r="D7" s="476">
        <v>1998</v>
      </c>
      <c r="E7" s="477" t="s">
        <v>57</v>
      </c>
      <c r="F7" s="476" t="s">
        <v>186</v>
      </c>
      <c r="G7" s="476" t="s">
        <v>50</v>
      </c>
      <c r="H7" s="476" t="s">
        <v>51</v>
      </c>
      <c r="I7" s="478">
        <v>49.92</v>
      </c>
      <c r="J7" s="479">
        <v>65</v>
      </c>
      <c r="K7" s="480">
        <v>49.92</v>
      </c>
      <c r="L7" s="481" t="s">
        <v>305</v>
      </c>
    </row>
    <row r="8" spans="1:12" ht="15">
      <c r="A8" s="475"/>
      <c r="B8" s="483" t="s">
        <v>239</v>
      </c>
      <c r="C8" s="484"/>
      <c r="D8" s="484"/>
      <c r="E8" s="485"/>
      <c r="F8" s="484"/>
      <c r="G8" s="484"/>
      <c r="H8" s="484"/>
      <c r="I8" s="486">
        <v>49.92</v>
      </c>
      <c r="J8" s="487"/>
      <c r="K8" s="488">
        <v>49.92</v>
      </c>
      <c r="L8" s="489"/>
    </row>
    <row r="9" spans="1:12" ht="15">
      <c r="A9" s="475"/>
      <c r="B9" s="490"/>
      <c r="C9" s="491"/>
      <c r="D9" s="491"/>
      <c r="E9" s="492"/>
      <c r="F9" s="491"/>
      <c r="G9" s="491"/>
      <c r="H9" s="491"/>
      <c r="I9" s="493"/>
      <c r="J9" s="493"/>
      <c r="K9" s="480"/>
      <c r="L9" s="489"/>
    </row>
    <row r="10" spans="1:12" ht="15">
      <c r="A10" s="475">
        <v>1</v>
      </c>
      <c r="B10" s="464" t="s">
        <v>9</v>
      </c>
      <c r="C10" s="476" t="s">
        <v>55</v>
      </c>
      <c r="D10" s="476">
        <v>1996</v>
      </c>
      <c r="E10" s="477" t="s">
        <v>49</v>
      </c>
      <c r="F10" s="476" t="s">
        <v>25</v>
      </c>
      <c r="G10" s="476" t="s">
        <v>50</v>
      </c>
      <c r="H10" s="476" t="s">
        <v>51</v>
      </c>
      <c r="I10" s="478">
        <v>132.479</v>
      </c>
      <c r="J10" s="479">
        <v>100</v>
      </c>
      <c r="K10" s="480">
        <v>132.479</v>
      </c>
      <c r="L10" s="481" t="s">
        <v>305</v>
      </c>
    </row>
    <row r="11" spans="1:12" ht="15">
      <c r="A11" s="475">
        <v>1</v>
      </c>
      <c r="B11" s="464" t="s">
        <v>3</v>
      </c>
      <c r="C11" s="476" t="s">
        <v>52</v>
      </c>
      <c r="D11" s="476">
        <v>1996</v>
      </c>
      <c r="E11" s="477" t="s">
        <v>49</v>
      </c>
      <c r="F11" s="476" t="s">
        <v>25</v>
      </c>
      <c r="G11" s="476" t="s">
        <v>50</v>
      </c>
      <c r="H11" s="476" t="s">
        <v>51</v>
      </c>
      <c r="I11" s="478">
        <v>136.77</v>
      </c>
      <c r="J11" s="479">
        <v>100</v>
      </c>
      <c r="K11" s="480">
        <v>136.77</v>
      </c>
      <c r="L11" s="481" t="s">
        <v>305</v>
      </c>
    </row>
    <row r="12" spans="1:12" ht="15">
      <c r="A12" s="475">
        <v>1</v>
      </c>
      <c r="B12" s="464" t="s">
        <v>11</v>
      </c>
      <c r="C12" s="476" t="s">
        <v>59</v>
      </c>
      <c r="D12" s="476">
        <v>2002</v>
      </c>
      <c r="E12" s="477" t="s">
        <v>60</v>
      </c>
      <c r="F12" s="476" t="s">
        <v>25</v>
      </c>
      <c r="G12" s="476" t="s">
        <v>50</v>
      </c>
      <c r="H12" s="476" t="s">
        <v>51</v>
      </c>
      <c r="I12" s="478">
        <v>145.04</v>
      </c>
      <c r="J12" s="479">
        <v>70</v>
      </c>
      <c r="K12" s="480">
        <v>145.04</v>
      </c>
      <c r="L12" s="481" t="s">
        <v>305</v>
      </c>
    </row>
    <row r="13" spans="1:12" ht="15">
      <c r="A13" s="475">
        <v>1</v>
      </c>
      <c r="B13" s="464" t="s">
        <v>8</v>
      </c>
      <c r="C13" s="476" t="s">
        <v>54</v>
      </c>
      <c r="D13" s="476">
        <v>1995</v>
      </c>
      <c r="E13" s="477" t="s">
        <v>49</v>
      </c>
      <c r="F13" s="476" t="s">
        <v>25</v>
      </c>
      <c r="G13" s="476" t="s">
        <v>50</v>
      </c>
      <c r="H13" s="476" t="s">
        <v>306</v>
      </c>
      <c r="I13" s="478">
        <v>118.096</v>
      </c>
      <c r="J13" s="479">
        <v>100</v>
      </c>
      <c r="K13" s="480">
        <v>118.096</v>
      </c>
      <c r="L13" s="481" t="s">
        <v>305</v>
      </c>
    </row>
    <row r="14" spans="1:12" ht="15">
      <c r="A14" s="475">
        <v>1</v>
      </c>
      <c r="B14" s="464" t="s">
        <v>7</v>
      </c>
      <c r="C14" s="476" t="s">
        <v>53</v>
      </c>
      <c r="D14" s="476">
        <v>1994</v>
      </c>
      <c r="E14" s="477" t="s">
        <v>49</v>
      </c>
      <c r="F14" s="476" t="s">
        <v>25</v>
      </c>
      <c r="G14" s="476" t="s">
        <v>50</v>
      </c>
      <c r="H14" s="476" t="s">
        <v>51</v>
      </c>
      <c r="I14" s="478">
        <v>51.0024</v>
      </c>
      <c r="J14" s="479">
        <v>100</v>
      </c>
      <c r="K14" s="480">
        <v>51.0024</v>
      </c>
      <c r="L14" s="481" t="s">
        <v>305</v>
      </c>
    </row>
    <row r="15" spans="1:12" ht="15">
      <c r="A15" s="475">
        <v>1</v>
      </c>
      <c r="B15" s="464" t="s">
        <v>6</v>
      </c>
      <c r="C15" s="476" t="s">
        <v>48</v>
      </c>
      <c r="D15" s="476">
        <v>1993</v>
      </c>
      <c r="E15" s="477" t="s">
        <v>49</v>
      </c>
      <c r="F15" s="476" t="s">
        <v>25</v>
      </c>
      <c r="G15" s="476" t="s">
        <v>50</v>
      </c>
      <c r="H15" s="476" t="s">
        <v>306</v>
      </c>
      <c r="I15" s="478">
        <v>229.68</v>
      </c>
      <c r="J15" s="479">
        <v>100</v>
      </c>
      <c r="K15" s="480">
        <v>229.68</v>
      </c>
      <c r="L15" s="481" t="s">
        <v>305</v>
      </c>
    </row>
    <row r="16" spans="1:12" ht="15">
      <c r="A16" s="475">
        <v>1</v>
      </c>
      <c r="B16" s="464" t="s">
        <v>185</v>
      </c>
      <c r="C16" s="476" t="s">
        <v>48</v>
      </c>
      <c r="D16" s="476" t="s">
        <v>187</v>
      </c>
      <c r="E16" s="477" t="s">
        <v>49</v>
      </c>
      <c r="F16" s="476" t="s">
        <v>25</v>
      </c>
      <c r="G16" s="476" t="s">
        <v>50</v>
      </c>
      <c r="H16" s="476" t="s">
        <v>306</v>
      </c>
      <c r="I16" s="478">
        <v>719.312</v>
      </c>
      <c r="J16" s="479">
        <v>100</v>
      </c>
      <c r="K16" s="480">
        <v>719.312</v>
      </c>
      <c r="L16" s="481" t="s">
        <v>305</v>
      </c>
    </row>
    <row r="17" spans="1:12" ht="15">
      <c r="A17" s="475">
        <v>1</v>
      </c>
      <c r="B17" s="464" t="s">
        <v>61</v>
      </c>
      <c r="C17" s="476" t="s">
        <v>62</v>
      </c>
      <c r="D17" s="476">
        <v>1998</v>
      </c>
      <c r="E17" s="477" t="s">
        <v>49</v>
      </c>
      <c r="F17" s="476" t="s">
        <v>25</v>
      </c>
      <c r="G17" s="476" t="s">
        <v>50</v>
      </c>
      <c r="H17" s="476" t="s">
        <v>51</v>
      </c>
      <c r="I17" s="478">
        <v>169.92</v>
      </c>
      <c r="J17" s="479">
        <v>100</v>
      </c>
      <c r="K17" s="480">
        <v>169.92</v>
      </c>
      <c r="L17" s="481" t="s">
        <v>305</v>
      </c>
    </row>
    <row r="18" spans="1:12" ht="15">
      <c r="A18" s="475">
        <v>1</v>
      </c>
      <c r="B18" s="464" t="s">
        <v>63</v>
      </c>
      <c r="C18" s="476" t="s">
        <v>56</v>
      </c>
      <c r="D18" s="476">
        <v>2001</v>
      </c>
      <c r="E18" s="477" t="s">
        <v>49</v>
      </c>
      <c r="F18" s="476" t="s">
        <v>25</v>
      </c>
      <c r="G18" s="476" t="s">
        <v>50</v>
      </c>
      <c r="H18" s="476" t="s">
        <v>51</v>
      </c>
      <c r="I18" s="478">
        <v>97.028</v>
      </c>
      <c r="J18" s="479">
        <v>100</v>
      </c>
      <c r="K18" s="480">
        <v>97.028</v>
      </c>
      <c r="L18" s="481" t="s">
        <v>305</v>
      </c>
    </row>
    <row r="19" spans="1:12" ht="15">
      <c r="A19" s="475">
        <v>1</v>
      </c>
      <c r="B19" s="464" t="s">
        <v>188</v>
      </c>
      <c r="C19" s="476" t="s">
        <v>53</v>
      </c>
      <c r="D19" s="476">
        <v>2004</v>
      </c>
      <c r="E19" s="477" t="s">
        <v>49</v>
      </c>
      <c r="F19" s="476" t="s">
        <v>25</v>
      </c>
      <c r="G19" s="476" t="s">
        <v>50</v>
      </c>
      <c r="H19" s="476" t="s">
        <v>51</v>
      </c>
      <c r="I19" s="478">
        <v>52.8915</v>
      </c>
      <c r="J19" s="479">
        <v>100</v>
      </c>
      <c r="K19" s="480">
        <v>52.8915</v>
      </c>
      <c r="L19" s="481" t="s">
        <v>305</v>
      </c>
    </row>
    <row r="20" spans="1:12" ht="15">
      <c r="A20" s="475">
        <v>1</v>
      </c>
      <c r="B20" s="464" t="s">
        <v>2</v>
      </c>
      <c r="C20" s="476" t="s">
        <v>65</v>
      </c>
      <c r="D20" s="476">
        <v>2005</v>
      </c>
      <c r="E20" s="477" t="s">
        <v>49</v>
      </c>
      <c r="F20" s="476" t="s">
        <v>25</v>
      </c>
      <c r="G20" s="476" t="s">
        <v>50</v>
      </c>
      <c r="H20" s="476" t="s">
        <v>51</v>
      </c>
      <c r="I20" s="478">
        <v>369.08784</v>
      </c>
      <c r="J20" s="479">
        <v>100</v>
      </c>
      <c r="K20" s="480">
        <v>369.08784</v>
      </c>
      <c r="L20" s="481" t="s">
        <v>305</v>
      </c>
    </row>
    <row r="21" spans="1:12" ht="15">
      <c r="A21" s="475">
        <v>1</v>
      </c>
      <c r="B21" s="464" t="s">
        <v>178</v>
      </c>
      <c r="C21" s="476" t="s">
        <v>147</v>
      </c>
      <c r="D21" s="476">
        <v>2006</v>
      </c>
      <c r="E21" s="477" t="s">
        <v>49</v>
      </c>
      <c r="F21" s="476" t="s">
        <v>25</v>
      </c>
      <c r="G21" s="476" t="s">
        <v>50</v>
      </c>
      <c r="H21" s="476" t="s">
        <v>51</v>
      </c>
      <c r="I21" s="478">
        <v>764.596</v>
      </c>
      <c r="J21" s="479">
        <v>100</v>
      </c>
      <c r="K21" s="480">
        <v>764.596</v>
      </c>
      <c r="L21" s="481" t="s">
        <v>305</v>
      </c>
    </row>
    <row r="22" spans="1:12" ht="15">
      <c r="A22" s="475">
        <v>1</v>
      </c>
      <c r="B22" s="464" t="s">
        <v>189</v>
      </c>
      <c r="C22" s="476" t="s">
        <v>148</v>
      </c>
      <c r="D22" s="476">
        <v>2006</v>
      </c>
      <c r="E22" s="477" t="s">
        <v>49</v>
      </c>
      <c r="F22" s="476" t="s">
        <v>25</v>
      </c>
      <c r="G22" s="476" t="s">
        <v>50</v>
      </c>
      <c r="H22" s="476" t="s">
        <v>51</v>
      </c>
      <c r="I22" s="478">
        <v>766.90887</v>
      </c>
      <c r="J22" s="479">
        <v>100</v>
      </c>
      <c r="K22" s="480">
        <v>766.90887</v>
      </c>
      <c r="L22" s="481" t="s">
        <v>305</v>
      </c>
    </row>
    <row r="23" spans="1:12" ht="15">
      <c r="A23" s="475">
        <v>1</v>
      </c>
      <c r="B23" s="464" t="s">
        <v>164</v>
      </c>
      <c r="C23" s="476" t="s">
        <v>165</v>
      </c>
      <c r="D23" s="476">
        <v>2007</v>
      </c>
      <c r="E23" s="477" t="s">
        <v>49</v>
      </c>
      <c r="F23" s="476" t="s">
        <v>25</v>
      </c>
      <c r="G23" s="476" t="s">
        <v>50</v>
      </c>
      <c r="H23" s="476" t="s">
        <v>51</v>
      </c>
      <c r="I23" s="478">
        <v>818.2754</v>
      </c>
      <c r="J23" s="479">
        <v>100</v>
      </c>
      <c r="K23" s="480">
        <v>818.2754</v>
      </c>
      <c r="L23" s="481" t="s">
        <v>305</v>
      </c>
    </row>
    <row r="24" spans="1:12" ht="15">
      <c r="A24" s="482"/>
      <c r="C24" s="494"/>
      <c r="D24" s="495"/>
      <c r="E24" s="494"/>
      <c r="F24" s="494"/>
      <c r="G24" s="494"/>
      <c r="H24" s="494"/>
      <c r="I24" s="495"/>
      <c r="J24" s="495"/>
      <c r="K24" s="496"/>
      <c r="L24" s="497"/>
    </row>
    <row r="25" spans="1:12" ht="15">
      <c r="A25" s="482"/>
      <c r="B25" s="483" t="s">
        <v>42</v>
      </c>
      <c r="C25" s="498"/>
      <c r="D25" s="499"/>
      <c r="E25" s="498"/>
      <c r="F25" s="498"/>
      <c r="G25" s="498"/>
      <c r="H25" s="498"/>
      <c r="I25" s="500">
        <v>4571.087009999999</v>
      </c>
      <c r="J25" s="499"/>
      <c r="K25" s="501">
        <v>4571.087009999999</v>
      </c>
      <c r="L25" s="489"/>
    </row>
    <row r="26" spans="1:12" ht="15.75" thickBot="1">
      <c r="A26" s="482"/>
      <c r="D26" s="465"/>
      <c r="K26" s="502"/>
      <c r="L26" s="489"/>
    </row>
    <row r="27" spans="1:12" ht="22.5" thickBot="1" thickTop="1">
      <c r="A27" s="503">
        <v>15</v>
      </c>
      <c r="B27" s="504" t="s">
        <v>268</v>
      </c>
      <c r="C27" s="505"/>
      <c r="D27" s="506"/>
      <c r="E27" s="505"/>
      <c r="F27" s="505"/>
      <c r="G27" s="505"/>
      <c r="H27" s="505"/>
      <c r="I27" s="507">
        <v>4621.007009999999</v>
      </c>
      <c r="J27" s="506"/>
      <c r="K27" s="508">
        <v>4621.007009999999</v>
      </c>
      <c r="L27" s="509"/>
    </row>
    <row r="28" spans="4:12" ht="15.75" thickTop="1">
      <c r="D28" s="465"/>
      <c r="K28" s="510"/>
      <c r="L28" s="510"/>
    </row>
    <row r="29" spans="4:12" ht="15.75" thickBot="1">
      <c r="D29" s="465"/>
      <c r="K29" s="510"/>
      <c r="L29" s="510"/>
    </row>
    <row r="30" spans="1:12" ht="15.75" thickBot="1">
      <c r="A30" s="787"/>
      <c r="B30" s="792" t="s">
        <v>269</v>
      </c>
      <c r="C30" s="793"/>
      <c r="D30" s="794"/>
      <c r="E30" s="511"/>
      <c r="F30" s="512"/>
      <c r="G30" s="512"/>
      <c r="H30" s="512"/>
      <c r="I30" s="513"/>
      <c r="J30" s="513"/>
      <c r="K30" s="514"/>
      <c r="L30" s="474"/>
    </row>
    <row r="31" spans="1:12" ht="15">
      <c r="A31" s="468"/>
      <c r="B31" s="515"/>
      <c r="C31" s="492"/>
      <c r="D31" s="491"/>
      <c r="F31" s="477"/>
      <c r="G31" s="477"/>
      <c r="H31" s="477"/>
      <c r="I31" s="476"/>
      <c r="J31" s="476"/>
      <c r="K31" s="502"/>
      <c r="L31" s="489"/>
    </row>
    <row r="32" spans="1:12" ht="15">
      <c r="A32" s="475">
        <v>1</v>
      </c>
      <c r="B32" s="515" t="s">
        <v>258</v>
      </c>
      <c r="C32" s="477" t="s">
        <v>307</v>
      </c>
      <c r="D32" s="476">
        <v>2005</v>
      </c>
      <c r="E32" s="464" t="s">
        <v>190</v>
      </c>
      <c r="F32" s="476" t="s">
        <v>25</v>
      </c>
      <c r="G32" s="477"/>
      <c r="H32" s="476" t="s">
        <v>51</v>
      </c>
      <c r="I32" s="516">
        <v>389.4</v>
      </c>
      <c r="J32" s="479">
        <v>37.89</v>
      </c>
      <c r="K32" s="517">
        <v>147.54366</v>
      </c>
      <c r="L32" s="518" t="s">
        <v>308</v>
      </c>
    </row>
    <row r="33" spans="1:12" ht="15">
      <c r="A33" s="475">
        <v>1</v>
      </c>
      <c r="B33" s="515" t="s">
        <v>225</v>
      </c>
      <c r="C33" s="477" t="s">
        <v>226</v>
      </c>
      <c r="D33" s="476">
        <v>2010</v>
      </c>
      <c r="E33" s="464" t="s">
        <v>190</v>
      </c>
      <c r="F33" s="476" t="s">
        <v>25</v>
      </c>
      <c r="G33" s="477"/>
      <c r="H33" s="476" t="s">
        <v>51</v>
      </c>
      <c r="I33" s="516">
        <v>410</v>
      </c>
      <c r="J33" s="479">
        <v>37.89</v>
      </c>
      <c r="K33" s="517">
        <v>155.34900000000002</v>
      </c>
      <c r="L33" s="518" t="s">
        <v>308</v>
      </c>
    </row>
    <row r="34" spans="1:12" ht="15">
      <c r="A34" s="475">
        <v>1</v>
      </c>
      <c r="B34" s="515" t="s">
        <v>259</v>
      </c>
      <c r="C34" s="477" t="s">
        <v>260</v>
      </c>
      <c r="D34" s="476"/>
      <c r="F34" s="476"/>
      <c r="G34" s="477"/>
      <c r="H34" s="476"/>
      <c r="I34" s="516">
        <v>226</v>
      </c>
      <c r="J34" s="479">
        <v>50</v>
      </c>
      <c r="K34" s="480">
        <v>113</v>
      </c>
      <c r="L34" s="518" t="s">
        <v>308</v>
      </c>
    </row>
    <row r="35" spans="2:12" ht="15.75" thickBot="1">
      <c r="B35" s="515"/>
      <c r="C35" s="494"/>
      <c r="D35" s="495"/>
      <c r="F35" s="495"/>
      <c r="G35" s="494"/>
      <c r="H35" s="495"/>
      <c r="I35" s="495"/>
      <c r="J35" s="519"/>
      <c r="K35" s="517"/>
      <c r="L35" s="520"/>
    </row>
    <row r="36" spans="1:12" ht="22.5" thickBot="1" thickTop="1">
      <c r="A36" s="503">
        <v>3</v>
      </c>
      <c r="B36" s="521" t="s">
        <v>270</v>
      </c>
      <c r="C36" s="522"/>
      <c r="D36" s="523"/>
      <c r="E36" s="522"/>
      <c r="F36" s="522"/>
      <c r="G36" s="522"/>
      <c r="H36" s="522"/>
      <c r="I36" s="524">
        <v>1025.4</v>
      </c>
      <c r="J36" s="523"/>
      <c r="K36" s="525">
        <v>415.89266</v>
      </c>
      <c r="L36" s="509"/>
    </row>
    <row r="37" ht="15.75" thickTop="1"/>
    <row r="38" ht="15">
      <c r="B38" s="464" t="s">
        <v>266</v>
      </c>
    </row>
    <row r="39" ht="15">
      <c r="B39" s="464" t="s">
        <v>267</v>
      </c>
    </row>
  </sheetData>
  <sheetProtection/>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2:X92"/>
  <sheetViews>
    <sheetView zoomScalePageLayoutView="0" workbookViewId="0" topLeftCell="A1">
      <selection activeCell="B89" sqref="B89:D89"/>
    </sheetView>
  </sheetViews>
  <sheetFormatPr defaultColWidth="9.140625" defaultRowHeight="12.75"/>
  <cols>
    <col min="1" max="1" width="9.00390625" style="526" customWidth="1"/>
    <col min="2" max="2" width="17.140625" style="526" customWidth="1"/>
    <col min="3" max="3" width="14.140625" style="526" customWidth="1"/>
    <col min="4" max="4" width="7.8515625" style="526" bestFit="1" customWidth="1"/>
    <col min="5" max="5" width="18.421875" style="526" customWidth="1"/>
    <col min="6" max="6" width="11.421875" style="526" bestFit="1" customWidth="1"/>
    <col min="7" max="7" width="22.8515625" style="526" bestFit="1" customWidth="1"/>
    <col min="8" max="8" width="12.421875" style="526" bestFit="1" customWidth="1"/>
    <col min="9" max="9" width="9.421875" style="526" customWidth="1"/>
    <col min="10" max="10" width="14.28125" style="528" bestFit="1" customWidth="1"/>
    <col min="11" max="11" width="15.28125" style="466" customWidth="1"/>
    <col min="12" max="13" width="3.7109375" style="526" customWidth="1"/>
    <col min="14" max="15" width="9.140625" style="526" customWidth="1"/>
    <col min="16" max="16" width="9.7109375" style="526" bestFit="1" customWidth="1"/>
    <col min="17" max="16384" width="9.140625" style="526" customWidth="1"/>
  </cols>
  <sheetData>
    <row r="1" ht="15"/>
    <row r="2" spans="1:9" ht="15.75">
      <c r="A2" s="461" t="s">
        <v>548</v>
      </c>
      <c r="C2" s="527"/>
      <c r="D2" s="528"/>
      <c r="E2" s="528"/>
      <c r="F2" s="528"/>
      <c r="G2" s="526" t="s">
        <v>413</v>
      </c>
      <c r="H2" s="528"/>
      <c r="I2" s="528"/>
    </row>
    <row r="3" spans="5:7" ht="15">
      <c r="E3" s="528"/>
      <c r="G3" s="526" t="s">
        <v>414</v>
      </c>
    </row>
    <row r="4" spans="1:11" ht="15">
      <c r="A4" s="529"/>
      <c r="B4" s="530"/>
      <c r="F4" s="531"/>
      <c r="G4" s="526" t="s">
        <v>415</v>
      </c>
      <c r="K4" s="465"/>
    </row>
    <row r="5" ht="15.75" thickBot="1"/>
    <row r="6" spans="1:17" s="467" customFormat="1" ht="90.75" thickBot="1">
      <c r="A6" s="795" t="s">
        <v>360</v>
      </c>
      <c r="B6" s="795" t="s">
        <v>4</v>
      </c>
      <c r="C6" s="796" t="s">
        <v>44</v>
      </c>
      <c r="D6" s="796" t="s">
        <v>5</v>
      </c>
      <c r="E6" s="796" t="s">
        <v>45</v>
      </c>
      <c r="F6" s="796" t="s">
        <v>20</v>
      </c>
      <c r="G6" s="796" t="s">
        <v>21</v>
      </c>
      <c r="H6" s="796" t="s">
        <v>301</v>
      </c>
      <c r="I6" s="797" t="s">
        <v>309</v>
      </c>
      <c r="J6" s="798" t="s">
        <v>303</v>
      </c>
      <c r="K6" s="787" t="s">
        <v>304</v>
      </c>
      <c r="L6" s="526"/>
      <c r="N6" s="828" t="s">
        <v>549</v>
      </c>
      <c r="O6" s="829"/>
      <c r="P6" s="830" t="s">
        <v>550</v>
      </c>
      <c r="Q6" s="829"/>
    </row>
    <row r="7" spans="1:17" ht="15">
      <c r="A7" s="532"/>
      <c r="B7" s="533"/>
      <c r="C7" s="534"/>
      <c r="D7" s="535"/>
      <c r="E7" s="534"/>
      <c r="F7" s="534"/>
      <c r="G7" s="534"/>
      <c r="H7" s="535"/>
      <c r="I7" s="536"/>
      <c r="J7" s="537"/>
      <c r="K7" s="538"/>
      <c r="M7" s="467"/>
      <c r="N7" s="539" t="s">
        <v>360</v>
      </c>
      <c r="O7" s="540" t="s">
        <v>551</v>
      </c>
      <c r="P7" s="539" t="s">
        <v>360</v>
      </c>
      <c r="Q7" s="540" t="s">
        <v>551</v>
      </c>
    </row>
    <row r="8" spans="1:17" ht="15">
      <c r="A8" s="541">
        <v>1</v>
      </c>
      <c r="B8" s="542" t="s">
        <v>310</v>
      </c>
      <c r="C8" s="543" t="s">
        <v>191</v>
      </c>
      <c r="D8" s="543">
        <v>1951</v>
      </c>
      <c r="E8" s="544" t="s">
        <v>192</v>
      </c>
      <c r="F8" s="543" t="s">
        <v>25</v>
      </c>
      <c r="G8" s="544" t="s">
        <v>23</v>
      </c>
      <c r="H8" s="545">
        <v>3.6689689019736407</v>
      </c>
      <c r="I8" s="546">
        <v>49</v>
      </c>
      <c r="J8" s="547">
        <f>+H8</f>
        <v>3.6689689019736407</v>
      </c>
      <c r="K8" s="481" t="s">
        <v>311</v>
      </c>
      <c r="L8" s="465"/>
      <c r="M8" s="467"/>
      <c r="N8" s="541"/>
      <c r="O8" s="548">
        <f>+IF(N8=1,J8,"")</f>
      </c>
      <c r="P8" s="541">
        <f>+IF(N8=1,"",1)</f>
        <v>1</v>
      </c>
      <c r="Q8" s="548">
        <f>+IF(P8=1,J8,"")</f>
        <v>3.6689689019736407</v>
      </c>
    </row>
    <row r="9" spans="1:19" ht="15">
      <c r="A9" s="541">
        <v>1</v>
      </c>
      <c r="B9" s="542" t="s">
        <v>312</v>
      </c>
      <c r="C9" s="543" t="s">
        <v>191</v>
      </c>
      <c r="D9" s="543">
        <v>2004</v>
      </c>
      <c r="E9" s="544" t="s">
        <v>192</v>
      </c>
      <c r="F9" s="543" t="s">
        <v>25</v>
      </c>
      <c r="G9" s="544" t="s">
        <v>26</v>
      </c>
      <c r="H9" s="545">
        <v>93.95413253699469</v>
      </c>
      <c r="I9" s="546">
        <v>49</v>
      </c>
      <c r="J9" s="547">
        <f>+H9</f>
        <v>93.95413253699469</v>
      </c>
      <c r="K9" s="481" t="s">
        <v>311</v>
      </c>
      <c r="L9" s="465"/>
      <c r="M9" s="467"/>
      <c r="N9" s="541"/>
      <c r="O9" s="548">
        <f aca="true" t="shared" si="0" ref="O9:O72">+IF(N9=1,J9,"")</f>
      </c>
      <c r="P9" s="541">
        <f aca="true" t="shared" si="1" ref="P9:P72">+IF(N9=1,"",1)</f>
        <v>1</v>
      </c>
      <c r="Q9" s="548">
        <f aca="true" t="shared" si="2" ref="Q9:Q72">+IF(P9=1,J9,"")</f>
        <v>93.95413253699469</v>
      </c>
      <c r="S9" s="549"/>
    </row>
    <row r="10" spans="1:17" ht="15">
      <c r="A10" s="541">
        <v>1</v>
      </c>
      <c r="B10" s="542" t="s">
        <v>176</v>
      </c>
      <c r="C10" s="543" t="s">
        <v>191</v>
      </c>
      <c r="D10" s="543">
        <v>2004</v>
      </c>
      <c r="E10" s="544" t="s">
        <v>192</v>
      </c>
      <c r="F10" s="543" t="s">
        <v>25</v>
      </c>
      <c r="G10" s="544" t="s">
        <v>552</v>
      </c>
      <c r="H10" s="545">
        <v>0.5314828405154188</v>
      </c>
      <c r="I10" s="550">
        <v>49</v>
      </c>
      <c r="J10" s="547">
        <f>+H10</f>
        <v>0.5314828405154188</v>
      </c>
      <c r="K10" s="481" t="s">
        <v>311</v>
      </c>
      <c r="L10" s="465"/>
      <c r="M10" s="467"/>
      <c r="N10" s="541"/>
      <c r="O10" s="548">
        <f t="shared" si="0"/>
      </c>
      <c r="P10" s="541">
        <f t="shared" si="1"/>
        <v>1</v>
      </c>
      <c r="Q10" s="548">
        <f t="shared" si="2"/>
        <v>0.5314828405154188</v>
      </c>
    </row>
    <row r="11" spans="1:17" ht="15">
      <c r="A11" s="541">
        <v>1</v>
      </c>
      <c r="B11" s="542" t="s">
        <v>29</v>
      </c>
      <c r="C11" s="543" t="s">
        <v>191</v>
      </c>
      <c r="D11" s="543">
        <v>1929</v>
      </c>
      <c r="E11" s="544" t="s">
        <v>192</v>
      </c>
      <c r="F11" s="543" t="s">
        <v>25</v>
      </c>
      <c r="G11" s="544" t="s">
        <v>22</v>
      </c>
      <c r="H11" s="545">
        <v>53.19539034006951</v>
      </c>
      <c r="I11" s="546">
        <v>49</v>
      </c>
      <c r="J11" s="547">
        <f>+H11</f>
        <v>53.19539034006951</v>
      </c>
      <c r="K11" s="481" t="s">
        <v>311</v>
      </c>
      <c r="L11" s="465"/>
      <c r="M11" s="467"/>
      <c r="N11" s="541"/>
      <c r="O11" s="548">
        <f t="shared" si="0"/>
      </c>
      <c r="P11" s="541">
        <f t="shared" si="1"/>
        <v>1</v>
      </c>
      <c r="Q11" s="548">
        <f t="shared" si="2"/>
        <v>53.19539034006951</v>
      </c>
    </row>
    <row r="12" spans="1:17" ht="15">
      <c r="A12" s="541">
        <v>1</v>
      </c>
      <c r="B12" s="542" t="s">
        <v>173</v>
      </c>
      <c r="C12" s="543" t="s">
        <v>191</v>
      </c>
      <c r="D12" s="543">
        <v>1925</v>
      </c>
      <c r="E12" s="544" t="s">
        <v>192</v>
      </c>
      <c r="F12" s="543" t="s">
        <v>25</v>
      </c>
      <c r="G12" s="544" t="s">
        <v>199</v>
      </c>
      <c r="H12" s="545">
        <v>7.584096089671987</v>
      </c>
      <c r="I12" s="546">
        <v>49</v>
      </c>
      <c r="J12" s="547">
        <f>+H12</f>
        <v>7.584096089671987</v>
      </c>
      <c r="K12" s="481" t="s">
        <v>311</v>
      </c>
      <c r="L12" s="465"/>
      <c r="M12" s="467"/>
      <c r="N12" s="541">
        <v>1</v>
      </c>
      <c r="O12" s="548">
        <f t="shared" si="0"/>
        <v>7.584096089671987</v>
      </c>
      <c r="P12" s="541">
        <f t="shared" si="1"/>
      </c>
      <c r="Q12" s="548">
        <f t="shared" si="2"/>
      </c>
    </row>
    <row r="13" spans="1:17" ht="15">
      <c r="A13" s="541">
        <v>1</v>
      </c>
      <c r="B13" s="542" t="s">
        <v>28</v>
      </c>
      <c r="C13" s="543" t="s">
        <v>193</v>
      </c>
      <c r="D13" s="543">
        <v>1928</v>
      </c>
      <c r="E13" s="544" t="s">
        <v>49</v>
      </c>
      <c r="F13" s="543" t="s">
        <v>25</v>
      </c>
      <c r="G13" s="544" t="s">
        <v>22</v>
      </c>
      <c r="H13" s="545">
        <v>51.47931001181179</v>
      </c>
      <c r="I13" s="546">
        <v>100</v>
      </c>
      <c r="J13" s="547">
        <f aca="true" t="shared" si="3" ref="J13:J27">+H13*I13/100</f>
        <v>51.4793100118118</v>
      </c>
      <c r="K13" s="481" t="s">
        <v>311</v>
      </c>
      <c r="L13" s="465"/>
      <c r="M13" s="467"/>
      <c r="N13" s="541"/>
      <c r="O13" s="548">
        <f t="shared" si="0"/>
      </c>
      <c r="P13" s="541">
        <f t="shared" si="1"/>
        <v>1</v>
      </c>
      <c r="Q13" s="548">
        <f t="shared" si="2"/>
        <v>51.4793100118118</v>
      </c>
    </row>
    <row r="14" spans="1:17" ht="15">
      <c r="A14" s="541">
        <v>1</v>
      </c>
      <c r="B14" s="542" t="s">
        <v>166</v>
      </c>
      <c r="C14" s="543" t="s">
        <v>193</v>
      </c>
      <c r="D14" s="543">
        <v>1950</v>
      </c>
      <c r="E14" s="544" t="s">
        <v>49</v>
      </c>
      <c r="F14" s="543" t="s">
        <v>25</v>
      </c>
      <c r="G14" s="544" t="s">
        <v>22</v>
      </c>
      <c r="H14" s="545">
        <v>60.775141728225165</v>
      </c>
      <c r="I14" s="550">
        <v>100</v>
      </c>
      <c r="J14" s="547">
        <f t="shared" si="3"/>
        <v>60.775141728225165</v>
      </c>
      <c r="K14" s="481" t="s">
        <v>311</v>
      </c>
      <c r="L14" s="465"/>
      <c r="M14" s="467"/>
      <c r="N14" s="541"/>
      <c r="O14" s="548">
        <f t="shared" si="0"/>
      </c>
      <c r="P14" s="541">
        <f t="shared" si="1"/>
        <v>1</v>
      </c>
      <c r="Q14" s="548">
        <f t="shared" si="2"/>
        <v>60.775141728225165</v>
      </c>
    </row>
    <row r="15" spans="1:17" ht="15">
      <c r="A15" s="541">
        <v>1</v>
      </c>
      <c r="B15" s="542" t="s">
        <v>35</v>
      </c>
      <c r="C15" s="543" t="s">
        <v>193</v>
      </c>
      <c r="D15" s="543">
        <v>1942</v>
      </c>
      <c r="E15" s="544" t="s">
        <v>49</v>
      </c>
      <c r="F15" s="543" t="s">
        <v>25</v>
      </c>
      <c r="G15" s="544" t="s">
        <v>23</v>
      </c>
      <c r="H15" s="545">
        <v>37.620162423845635</v>
      </c>
      <c r="I15" s="550">
        <v>100</v>
      </c>
      <c r="J15" s="547">
        <f t="shared" si="3"/>
        <v>37.620162423845635</v>
      </c>
      <c r="K15" s="481" t="s">
        <v>311</v>
      </c>
      <c r="L15" s="465"/>
      <c r="M15" s="467"/>
      <c r="N15" s="541"/>
      <c r="O15" s="548">
        <f t="shared" si="0"/>
      </c>
      <c r="P15" s="541">
        <f t="shared" si="1"/>
        <v>1</v>
      </c>
      <c r="Q15" s="548">
        <f t="shared" si="2"/>
        <v>37.620162423845635</v>
      </c>
    </row>
    <row r="16" spans="1:17" ht="15">
      <c r="A16" s="541">
        <v>1</v>
      </c>
      <c r="B16" s="542" t="s">
        <v>39</v>
      </c>
      <c r="C16" s="543" t="s">
        <v>194</v>
      </c>
      <c r="D16" s="543">
        <v>1955</v>
      </c>
      <c r="E16" s="544" t="s">
        <v>49</v>
      </c>
      <c r="F16" s="543" t="s">
        <v>25</v>
      </c>
      <c r="G16" s="544" t="s">
        <v>26</v>
      </c>
      <c r="H16" s="545">
        <v>54.7810471392621</v>
      </c>
      <c r="I16" s="550">
        <v>100</v>
      </c>
      <c r="J16" s="547">
        <f t="shared" si="3"/>
        <v>54.7810471392621</v>
      </c>
      <c r="K16" s="481" t="s">
        <v>311</v>
      </c>
      <c r="L16" s="465"/>
      <c r="M16" s="467"/>
      <c r="N16" s="541"/>
      <c r="O16" s="548">
        <f t="shared" si="0"/>
      </c>
      <c r="P16" s="541">
        <f t="shared" si="1"/>
        <v>1</v>
      </c>
      <c r="Q16" s="548">
        <f t="shared" si="2"/>
        <v>54.7810471392621</v>
      </c>
    </row>
    <row r="17" spans="1:17" ht="15">
      <c r="A17" s="541">
        <v>1</v>
      </c>
      <c r="B17" s="542" t="s">
        <v>37</v>
      </c>
      <c r="C17" s="543" t="s">
        <v>194</v>
      </c>
      <c r="D17" s="543">
        <v>1947</v>
      </c>
      <c r="E17" s="544" t="s">
        <v>49</v>
      </c>
      <c r="F17" s="543" t="s">
        <v>25</v>
      </c>
      <c r="G17" s="544" t="s">
        <v>22</v>
      </c>
      <c r="H17" s="545">
        <v>58.26089840790875</v>
      </c>
      <c r="I17" s="550">
        <v>100</v>
      </c>
      <c r="J17" s="547">
        <f t="shared" si="3"/>
        <v>58.26089840790874</v>
      </c>
      <c r="K17" s="481" t="s">
        <v>311</v>
      </c>
      <c r="L17" s="465"/>
      <c r="M17" s="467"/>
      <c r="N17" s="541"/>
      <c r="O17" s="548">
        <f t="shared" si="0"/>
      </c>
      <c r="P17" s="541">
        <f t="shared" si="1"/>
        <v>1</v>
      </c>
      <c r="Q17" s="548">
        <f t="shared" si="2"/>
        <v>58.26089840790874</v>
      </c>
    </row>
    <row r="18" spans="1:17" ht="15">
      <c r="A18" s="541">
        <v>1</v>
      </c>
      <c r="B18" s="542" t="s">
        <v>38</v>
      </c>
      <c r="C18" s="543" t="s">
        <v>194</v>
      </c>
      <c r="D18" s="543">
        <v>1950</v>
      </c>
      <c r="E18" s="544" t="s">
        <v>49</v>
      </c>
      <c r="F18" s="543" t="s">
        <v>25</v>
      </c>
      <c r="G18" s="544" t="s">
        <v>26</v>
      </c>
      <c r="H18" s="545">
        <v>2.020149145192822</v>
      </c>
      <c r="I18" s="550">
        <v>100</v>
      </c>
      <c r="J18" s="547">
        <f t="shared" si="3"/>
        <v>2.020149145192822</v>
      </c>
      <c r="K18" s="481" t="s">
        <v>311</v>
      </c>
      <c r="L18" s="465"/>
      <c r="M18" s="467"/>
      <c r="N18" s="541"/>
      <c r="O18" s="548">
        <f t="shared" si="0"/>
      </c>
      <c r="P18" s="541">
        <f t="shared" si="1"/>
        <v>1</v>
      </c>
      <c r="Q18" s="548">
        <f t="shared" si="2"/>
        <v>2.020149145192822</v>
      </c>
    </row>
    <row r="19" spans="1:17" ht="15">
      <c r="A19" s="541">
        <v>1</v>
      </c>
      <c r="B19" s="542" t="s">
        <v>31</v>
      </c>
      <c r="C19" s="543" t="s">
        <v>194</v>
      </c>
      <c r="D19" s="543">
        <v>1932</v>
      </c>
      <c r="E19" s="544" t="s">
        <v>49</v>
      </c>
      <c r="F19" s="543" t="s">
        <v>25</v>
      </c>
      <c r="G19" s="544" t="s">
        <v>26</v>
      </c>
      <c r="H19" s="545">
        <v>10.790504676393184</v>
      </c>
      <c r="I19" s="550">
        <v>100</v>
      </c>
      <c r="J19" s="547">
        <f t="shared" si="3"/>
        <v>10.790504676393184</v>
      </c>
      <c r="K19" s="481" t="s">
        <v>311</v>
      </c>
      <c r="L19" s="465"/>
      <c r="M19" s="467"/>
      <c r="N19" s="541"/>
      <c r="O19" s="548">
        <f t="shared" si="0"/>
      </c>
      <c r="P19" s="541">
        <f t="shared" si="1"/>
        <v>1</v>
      </c>
      <c r="Q19" s="548">
        <f t="shared" si="2"/>
        <v>10.790504676393184</v>
      </c>
    </row>
    <row r="20" spans="1:17" ht="15">
      <c r="A20" s="541">
        <v>1</v>
      </c>
      <c r="B20" s="542" t="s">
        <v>32</v>
      </c>
      <c r="C20" s="543" t="s">
        <v>194</v>
      </c>
      <c r="D20" s="543">
        <v>1933</v>
      </c>
      <c r="E20" s="544" t="s">
        <v>49</v>
      </c>
      <c r="F20" s="543" t="s">
        <v>25</v>
      </c>
      <c r="G20" s="544" t="s">
        <v>26</v>
      </c>
      <c r="H20" s="545">
        <v>32.35261166511748</v>
      </c>
      <c r="I20" s="550">
        <v>100</v>
      </c>
      <c r="J20" s="547">
        <f t="shared" si="3"/>
        <v>32.35261166511748</v>
      </c>
      <c r="K20" s="481" t="s">
        <v>311</v>
      </c>
      <c r="L20" s="465"/>
      <c r="N20" s="541"/>
      <c r="O20" s="548">
        <f t="shared" si="0"/>
      </c>
      <c r="P20" s="541">
        <f t="shared" si="1"/>
        <v>1</v>
      </c>
      <c r="Q20" s="548">
        <f t="shared" si="2"/>
        <v>32.35261166511748</v>
      </c>
    </row>
    <row r="21" spans="1:17" ht="15">
      <c r="A21" s="541">
        <v>1</v>
      </c>
      <c r="B21" s="542" t="s">
        <v>30</v>
      </c>
      <c r="C21" s="543" t="s">
        <v>194</v>
      </c>
      <c r="D21" s="543">
        <v>1929</v>
      </c>
      <c r="E21" s="544" t="s">
        <v>49</v>
      </c>
      <c r="F21" s="543" t="s">
        <v>25</v>
      </c>
      <c r="G21" s="544" t="s">
        <v>22</v>
      </c>
      <c r="H21" s="545">
        <v>8.467957036601991</v>
      </c>
      <c r="I21" s="550">
        <v>100</v>
      </c>
      <c r="J21" s="547">
        <f t="shared" si="3"/>
        <v>8.467957036601991</v>
      </c>
      <c r="K21" s="481" t="s">
        <v>311</v>
      </c>
      <c r="L21" s="465"/>
      <c r="N21" s="541"/>
      <c r="O21" s="548">
        <f t="shared" si="0"/>
      </c>
      <c r="P21" s="541">
        <f t="shared" si="1"/>
        <v>1</v>
      </c>
      <c r="Q21" s="548">
        <f t="shared" si="2"/>
        <v>8.467957036601991</v>
      </c>
    </row>
    <row r="22" spans="1:17" ht="15">
      <c r="A22" s="541">
        <v>1</v>
      </c>
      <c r="B22" s="542" t="s">
        <v>27</v>
      </c>
      <c r="C22" s="543" t="s">
        <v>194</v>
      </c>
      <c r="D22" s="543">
        <v>1923</v>
      </c>
      <c r="E22" s="544" t="s">
        <v>49</v>
      </c>
      <c r="F22" s="543" t="s">
        <v>25</v>
      </c>
      <c r="G22" s="544" t="s">
        <v>22</v>
      </c>
      <c r="H22" s="545">
        <v>147.00075410001645</v>
      </c>
      <c r="I22" s="550">
        <v>100</v>
      </c>
      <c r="J22" s="547">
        <f t="shared" si="3"/>
        <v>147.00075410001645</v>
      </c>
      <c r="K22" s="481" t="s">
        <v>311</v>
      </c>
      <c r="L22" s="465"/>
      <c r="N22" s="541"/>
      <c r="O22" s="548">
        <f t="shared" si="0"/>
      </c>
      <c r="P22" s="541">
        <f t="shared" si="1"/>
        <v>1</v>
      </c>
      <c r="Q22" s="548">
        <f t="shared" si="2"/>
        <v>147.00075410001645</v>
      </c>
    </row>
    <row r="23" spans="1:17" ht="15">
      <c r="A23" s="541">
        <v>1</v>
      </c>
      <c r="B23" s="542" t="s">
        <v>34</v>
      </c>
      <c r="C23" s="543" t="s">
        <v>194</v>
      </c>
      <c r="D23" s="543">
        <v>1936</v>
      </c>
      <c r="E23" s="544" t="s">
        <v>49</v>
      </c>
      <c r="F23" s="543" t="s">
        <v>25</v>
      </c>
      <c r="G23" s="544" t="s">
        <v>22</v>
      </c>
      <c r="H23" s="545">
        <v>39.1125189924077</v>
      </c>
      <c r="I23" s="550">
        <v>100</v>
      </c>
      <c r="J23" s="547">
        <f t="shared" si="3"/>
        <v>39.1125189924077</v>
      </c>
      <c r="K23" s="481" t="s">
        <v>311</v>
      </c>
      <c r="L23" s="465"/>
      <c r="N23" s="541"/>
      <c r="O23" s="548">
        <f t="shared" si="0"/>
      </c>
      <c r="P23" s="541">
        <f t="shared" si="1"/>
        <v>1</v>
      </c>
      <c r="Q23" s="548">
        <f t="shared" si="2"/>
        <v>39.1125189924077</v>
      </c>
    </row>
    <row r="24" spans="1:17" ht="15">
      <c r="A24" s="541">
        <v>1</v>
      </c>
      <c r="B24" s="542" t="s">
        <v>41</v>
      </c>
      <c r="C24" s="543" t="s">
        <v>195</v>
      </c>
      <c r="D24" s="543">
        <v>1962</v>
      </c>
      <c r="E24" s="544" t="s">
        <v>49</v>
      </c>
      <c r="F24" s="543" t="s">
        <v>25</v>
      </c>
      <c r="G24" s="544" t="s">
        <v>22</v>
      </c>
      <c r="H24" s="545">
        <v>13.323015816529834</v>
      </c>
      <c r="I24" s="550">
        <v>100</v>
      </c>
      <c r="J24" s="547">
        <f t="shared" si="3"/>
        <v>13.323015816529836</v>
      </c>
      <c r="K24" s="481" t="s">
        <v>311</v>
      </c>
      <c r="L24" s="465"/>
      <c r="N24" s="541"/>
      <c r="O24" s="548">
        <f t="shared" si="0"/>
      </c>
      <c r="P24" s="541">
        <f t="shared" si="1"/>
        <v>1</v>
      </c>
      <c r="Q24" s="548">
        <f t="shared" si="2"/>
        <v>13.323015816529836</v>
      </c>
    </row>
    <row r="25" spans="1:17" ht="15">
      <c r="A25" s="541">
        <v>1</v>
      </c>
      <c r="B25" s="542" t="s">
        <v>196</v>
      </c>
      <c r="C25" s="543" t="s">
        <v>197</v>
      </c>
      <c r="D25" s="543">
        <v>1920</v>
      </c>
      <c r="E25" s="544" t="s">
        <v>49</v>
      </c>
      <c r="F25" s="543" t="s">
        <v>25</v>
      </c>
      <c r="G25" s="544" t="s">
        <v>23</v>
      </c>
      <c r="H25" s="545">
        <v>4.986479043271768</v>
      </c>
      <c r="I25" s="550">
        <v>100</v>
      </c>
      <c r="J25" s="547">
        <f t="shared" si="3"/>
        <v>4.986479043271768</v>
      </c>
      <c r="K25" s="481" t="s">
        <v>311</v>
      </c>
      <c r="L25" s="465"/>
      <c r="N25" s="541"/>
      <c r="O25" s="548">
        <f t="shared" si="0"/>
      </c>
      <c r="P25" s="541">
        <f t="shared" si="1"/>
        <v>1</v>
      </c>
      <c r="Q25" s="548">
        <f t="shared" si="2"/>
        <v>4.986479043271768</v>
      </c>
    </row>
    <row r="26" spans="1:17" ht="15">
      <c r="A26" s="541">
        <v>1</v>
      </c>
      <c r="B26" s="542" t="s">
        <v>151</v>
      </c>
      <c r="C26" s="543" t="s">
        <v>53</v>
      </c>
      <c r="D26" s="543">
        <v>1898</v>
      </c>
      <c r="E26" s="544" t="s">
        <v>49</v>
      </c>
      <c r="F26" s="543" t="s">
        <v>25</v>
      </c>
      <c r="G26" s="544" t="s">
        <v>23</v>
      </c>
      <c r="H26" s="545">
        <v>11.72244712664301</v>
      </c>
      <c r="I26" s="550">
        <v>100</v>
      </c>
      <c r="J26" s="547">
        <f t="shared" si="3"/>
        <v>11.72244712664301</v>
      </c>
      <c r="K26" s="481" t="s">
        <v>311</v>
      </c>
      <c r="L26" s="465"/>
      <c r="N26" s="541"/>
      <c r="O26" s="548">
        <f t="shared" si="0"/>
      </c>
      <c r="P26" s="541">
        <f t="shared" si="1"/>
        <v>1</v>
      </c>
      <c r="Q26" s="548">
        <f t="shared" si="2"/>
        <v>11.72244712664301</v>
      </c>
    </row>
    <row r="27" spans="1:17" ht="15">
      <c r="A27" s="541">
        <v>1</v>
      </c>
      <c r="B27" s="542" t="s">
        <v>152</v>
      </c>
      <c r="C27" s="543" t="s">
        <v>53</v>
      </c>
      <c r="D27" s="543">
        <v>1914</v>
      </c>
      <c r="E27" s="544" t="s">
        <v>49</v>
      </c>
      <c r="F27" s="543" t="s">
        <v>25</v>
      </c>
      <c r="G27" s="544" t="s">
        <v>23</v>
      </c>
      <c r="H27" s="545">
        <v>22.812222320162633</v>
      </c>
      <c r="I27" s="550">
        <v>100</v>
      </c>
      <c r="J27" s="547">
        <f t="shared" si="3"/>
        <v>22.812222320162633</v>
      </c>
      <c r="K27" s="481" t="s">
        <v>311</v>
      </c>
      <c r="L27" s="465"/>
      <c r="N27" s="541"/>
      <c r="O27" s="548">
        <f t="shared" si="0"/>
      </c>
      <c r="P27" s="541">
        <f t="shared" si="1"/>
        <v>1</v>
      </c>
      <c r="Q27" s="548">
        <f t="shared" si="2"/>
        <v>22.812222320162633</v>
      </c>
    </row>
    <row r="28" spans="1:17" ht="15">
      <c r="A28" s="541">
        <v>1</v>
      </c>
      <c r="B28" s="542" t="s">
        <v>12</v>
      </c>
      <c r="C28" s="543" t="s">
        <v>198</v>
      </c>
      <c r="D28" s="543">
        <v>1929</v>
      </c>
      <c r="E28" s="544" t="s">
        <v>49</v>
      </c>
      <c r="F28" s="543" t="s">
        <v>25</v>
      </c>
      <c r="G28" s="544" t="s">
        <v>22</v>
      </c>
      <c r="H28" s="545">
        <v>20.814316385915525</v>
      </c>
      <c r="I28" s="550">
        <v>100</v>
      </c>
      <c r="J28" s="547">
        <f>+H28*I28%</f>
        <v>20.814316385915525</v>
      </c>
      <c r="K28" s="481" t="s">
        <v>311</v>
      </c>
      <c r="L28" s="465"/>
      <c r="N28" s="541"/>
      <c r="O28" s="548">
        <f t="shared" si="0"/>
      </c>
      <c r="P28" s="541">
        <f t="shared" si="1"/>
        <v>1</v>
      </c>
      <c r="Q28" s="548">
        <f t="shared" si="2"/>
        <v>20.814316385915525</v>
      </c>
    </row>
    <row r="29" spans="1:17" ht="15">
      <c r="A29" s="541">
        <v>1</v>
      </c>
      <c r="B29" s="542" t="s">
        <v>13</v>
      </c>
      <c r="C29" s="543" t="s">
        <v>198</v>
      </c>
      <c r="D29" s="543">
        <v>1942</v>
      </c>
      <c r="E29" s="544" t="s">
        <v>49</v>
      </c>
      <c r="F29" s="543" t="s">
        <v>25</v>
      </c>
      <c r="G29" s="544" t="s">
        <v>199</v>
      </c>
      <c r="H29" s="545">
        <v>2.2120016438049235</v>
      </c>
      <c r="I29" s="550">
        <v>100</v>
      </c>
      <c r="J29" s="547">
        <f>+H29*I29%</f>
        <v>2.2120016438049235</v>
      </c>
      <c r="K29" s="481" t="s">
        <v>311</v>
      </c>
      <c r="L29" s="465"/>
      <c r="N29" s="541">
        <v>1</v>
      </c>
      <c r="O29" s="548">
        <f t="shared" si="0"/>
        <v>2.2120016438049235</v>
      </c>
      <c r="P29" s="541">
        <f t="shared" si="1"/>
      </c>
      <c r="Q29" s="548">
        <f t="shared" si="2"/>
      </c>
    </row>
    <row r="30" spans="1:19" ht="15">
      <c r="A30" s="541">
        <v>1</v>
      </c>
      <c r="B30" s="542" t="s">
        <v>200</v>
      </c>
      <c r="C30" s="543" t="s">
        <v>64</v>
      </c>
      <c r="D30" s="543">
        <v>1942</v>
      </c>
      <c r="E30" s="544" t="s">
        <v>49</v>
      </c>
      <c r="F30" s="543" t="s">
        <v>25</v>
      </c>
      <c r="G30" s="544" t="s">
        <v>23</v>
      </c>
      <c r="H30" s="545">
        <v>5.267507236050821</v>
      </c>
      <c r="I30" s="550">
        <v>100</v>
      </c>
      <c r="J30" s="547">
        <f>+H30*I30/100</f>
        <v>5.267507236050821</v>
      </c>
      <c r="K30" s="481" t="s">
        <v>311</v>
      </c>
      <c r="L30" s="465"/>
      <c r="N30" s="541"/>
      <c r="O30" s="548">
        <f t="shared" si="0"/>
      </c>
      <c r="P30" s="541">
        <f t="shared" si="1"/>
        <v>1</v>
      </c>
      <c r="Q30" s="548">
        <f t="shared" si="2"/>
        <v>5.267507236050821</v>
      </c>
      <c r="S30" s="549"/>
    </row>
    <row r="31" spans="1:17" ht="15">
      <c r="A31" s="541">
        <v>1</v>
      </c>
      <c r="B31" s="542" t="s">
        <v>36</v>
      </c>
      <c r="C31" s="543" t="s">
        <v>58</v>
      </c>
      <c r="D31" s="543">
        <v>1940</v>
      </c>
      <c r="E31" s="544" t="s">
        <v>49</v>
      </c>
      <c r="F31" s="543" t="s">
        <v>25</v>
      </c>
      <c r="G31" s="544" t="s">
        <v>553</v>
      </c>
      <c r="H31" s="545">
        <v>1.7613895863697036</v>
      </c>
      <c r="I31" s="550">
        <v>100</v>
      </c>
      <c r="J31" s="547">
        <f>+H31*I31/100</f>
        <v>1.7613895863697036</v>
      </c>
      <c r="K31" s="481" t="s">
        <v>311</v>
      </c>
      <c r="L31" s="465"/>
      <c r="N31" s="541"/>
      <c r="O31" s="548">
        <f t="shared" si="0"/>
      </c>
      <c r="P31" s="541">
        <f t="shared" si="1"/>
        <v>1</v>
      </c>
      <c r="Q31" s="548">
        <f t="shared" si="2"/>
        <v>1.7613895863697036</v>
      </c>
    </row>
    <row r="32" spans="1:17" ht="15">
      <c r="A32" s="541">
        <v>1</v>
      </c>
      <c r="B32" s="542" t="s">
        <v>33</v>
      </c>
      <c r="C32" s="543" t="s">
        <v>58</v>
      </c>
      <c r="D32" s="543">
        <v>1935</v>
      </c>
      <c r="E32" s="544" t="s">
        <v>49</v>
      </c>
      <c r="F32" s="543" t="s">
        <v>25</v>
      </c>
      <c r="G32" s="544" t="s">
        <v>22</v>
      </c>
      <c r="H32" s="545">
        <v>26.106145129939947</v>
      </c>
      <c r="I32" s="546">
        <v>100</v>
      </c>
      <c r="J32" s="547">
        <f>+H32*I32/100</f>
        <v>26.106145129939947</v>
      </c>
      <c r="K32" s="481" t="s">
        <v>311</v>
      </c>
      <c r="L32" s="465"/>
      <c r="N32" s="541"/>
      <c r="O32" s="548">
        <f t="shared" si="0"/>
      </c>
      <c r="P32" s="541">
        <f t="shared" si="1"/>
        <v>1</v>
      </c>
      <c r="Q32" s="548">
        <f t="shared" si="2"/>
        <v>26.106145129939947</v>
      </c>
    </row>
    <row r="33" spans="1:17" ht="15">
      <c r="A33" s="541">
        <v>1</v>
      </c>
      <c r="B33" s="542" t="s">
        <v>14</v>
      </c>
      <c r="C33" s="543" t="s">
        <v>56</v>
      </c>
      <c r="D33" s="543">
        <v>1970</v>
      </c>
      <c r="E33" s="544" t="s">
        <v>49</v>
      </c>
      <c r="F33" s="543" t="s">
        <v>25</v>
      </c>
      <c r="G33" s="544" t="s">
        <v>23</v>
      </c>
      <c r="H33" s="545">
        <v>4.911707753503267</v>
      </c>
      <c r="I33" s="550">
        <v>100</v>
      </c>
      <c r="J33" s="547">
        <f>+H33*I33%</f>
        <v>4.911707753503267</v>
      </c>
      <c r="K33" s="481" t="s">
        <v>311</v>
      </c>
      <c r="L33" s="465"/>
      <c r="N33" s="541"/>
      <c r="O33" s="548">
        <f t="shared" si="0"/>
      </c>
      <c r="P33" s="541">
        <f t="shared" si="1"/>
        <v>1</v>
      </c>
      <c r="Q33" s="548">
        <f t="shared" si="2"/>
        <v>4.911707753503267</v>
      </c>
    </row>
    <row r="34" spans="1:17" ht="15">
      <c r="A34" s="541">
        <v>1</v>
      </c>
      <c r="B34" s="542" t="s">
        <v>169</v>
      </c>
      <c r="C34" s="543" t="s">
        <v>193</v>
      </c>
      <c r="D34" s="543">
        <v>1927</v>
      </c>
      <c r="E34" s="544" t="s">
        <v>49</v>
      </c>
      <c r="F34" s="543" t="s">
        <v>25</v>
      </c>
      <c r="G34" s="544" t="s">
        <v>201</v>
      </c>
      <c r="H34" s="545">
        <v>3.004775220811691</v>
      </c>
      <c r="I34" s="550">
        <v>100</v>
      </c>
      <c r="J34" s="547">
        <f>+H34*I34%</f>
        <v>3.004775220811691</v>
      </c>
      <c r="K34" s="481" t="s">
        <v>311</v>
      </c>
      <c r="L34" s="465"/>
      <c r="N34" s="541">
        <v>1</v>
      </c>
      <c r="O34" s="548">
        <f t="shared" si="0"/>
        <v>3.004775220811691</v>
      </c>
      <c r="P34" s="541">
        <f t="shared" si="1"/>
      </c>
      <c r="Q34" s="548">
        <f t="shared" si="2"/>
      </c>
    </row>
    <row r="35" spans="1:17" ht="15">
      <c r="A35" s="541">
        <v>1</v>
      </c>
      <c r="B35" s="542" t="s">
        <v>168</v>
      </c>
      <c r="C35" s="543" t="s">
        <v>193</v>
      </c>
      <c r="D35" s="543">
        <v>1959</v>
      </c>
      <c r="E35" s="544" t="s">
        <v>49</v>
      </c>
      <c r="F35" s="543" t="s">
        <v>25</v>
      </c>
      <c r="G35" s="544" t="s">
        <v>199</v>
      </c>
      <c r="H35" s="545">
        <v>2.4911998320609547</v>
      </c>
      <c r="I35" s="550">
        <v>100</v>
      </c>
      <c r="J35" s="547">
        <f>+H35*I35%</f>
        <v>2.4911998320609547</v>
      </c>
      <c r="K35" s="481" t="s">
        <v>311</v>
      </c>
      <c r="L35" s="465"/>
      <c r="N35" s="541">
        <v>1</v>
      </c>
      <c r="O35" s="548">
        <f t="shared" si="0"/>
        <v>2.4911998320609547</v>
      </c>
      <c r="P35" s="541">
        <f t="shared" si="1"/>
      </c>
      <c r="Q35" s="548">
        <f t="shared" si="2"/>
      </c>
    </row>
    <row r="36" spans="1:17" ht="15">
      <c r="A36" s="541">
        <v>1</v>
      </c>
      <c r="B36" s="542" t="s">
        <v>24</v>
      </c>
      <c r="C36" s="543" t="s">
        <v>193</v>
      </c>
      <c r="D36" s="543">
        <v>1905</v>
      </c>
      <c r="E36" s="544" t="s">
        <v>49</v>
      </c>
      <c r="F36" s="543" t="s">
        <v>25</v>
      </c>
      <c r="G36" s="544" t="s">
        <v>23</v>
      </c>
      <c r="H36" s="545">
        <v>7.89850029149957</v>
      </c>
      <c r="I36" s="550">
        <v>100</v>
      </c>
      <c r="J36" s="547">
        <f aca="true" t="shared" si="4" ref="J36:J61">+H36*I36/100</f>
        <v>7.89850029149957</v>
      </c>
      <c r="K36" s="481" t="s">
        <v>311</v>
      </c>
      <c r="L36" s="465"/>
      <c r="N36" s="541"/>
      <c r="O36" s="548">
        <f t="shared" si="0"/>
      </c>
      <c r="P36" s="541">
        <f t="shared" si="1"/>
        <v>1</v>
      </c>
      <c r="Q36" s="548">
        <f t="shared" si="2"/>
        <v>7.89850029149957</v>
      </c>
    </row>
    <row r="37" spans="1:17" ht="15">
      <c r="A37" s="541">
        <v>1</v>
      </c>
      <c r="B37" s="542" t="s">
        <v>40</v>
      </c>
      <c r="C37" s="543" t="s">
        <v>193</v>
      </c>
      <c r="D37" s="543">
        <v>1960</v>
      </c>
      <c r="E37" s="544" t="s">
        <v>49</v>
      </c>
      <c r="F37" s="543" t="s">
        <v>25</v>
      </c>
      <c r="G37" s="544" t="s">
        <v>23</v>
      </c>
      <c r="H37" s="545">
        <v>34.5640152</v>
      </c>
      <c r="I37" s="550">
        <v>100</v>
      </c>
      <c r="J37" s="547">
        <f t="shared" si="4"/>
        <v>34.5640152</v>
      </c>
      <c r="K37" s="481" t="s">
        <v>311</v>
      </c>
      <c r="L37" s="465"/>
      <c r="N37" s="541"/>
      <c r="O37" s="548">
        <f t="shared" si="0"/>
      </c>
      <c r="P37" s="541">
        <f t="shared" si="1"/>
        <v>1</v>
      </c>
      <c r="Q37" s="548">
        <f t="shared" si="2"/>
        <v>34.5640152</v>
      </c>
    </row>
    <row r="38" spans="1:17" ht="15">
      <c r="A38" s="541">
        <v>1</v>
      </c>
      <c r="B38" s="542" t="s">
        <v>170</v>
      </c>
      <c r="C38" s="543" t="s">
        <v>202</v>
      </c>
      <c r="D38" s="543">
        <v>1965</v>
      </c>
      <c r="E38" s="544" t="s">
        <v>49</v>
      </c>
      <c r="F38" s="543" t="s">
        <v>25</v>
      </c>
      <c r="G38" s="544" t="s">
        <v>26</v>
      </c>
      <c r="H38" s="545">
        <v>7.455072068359427</v>
      </c>
      <c r="I38" s="550">
        <v>100</v>
      </c>
      <c r="J38" s="547">
        <f t="shared" si="4"/>
        <v>7.455072068359427</v>
      </c>
      <c r="K38" s="481" t="s">
        <v>311</v>
      </c>
      <c r="L38" s="465"/>
      <c r="N38" s="541"/>
      <c r="O38" s="548">
        <f t="shared" si="0"/>
      </c>
      <c r="P38" s="541">
        <f t="shared" si="1"/>
        <v>1</v>
      </c>
      <c r="Q38" s="548">
        <f t="shared" si="2"/>
        <v>7.455072068359427</v>
      </c>
    </row>
    <row r="39" spans="1:17" ht="15">
      <c r="A39" s="541">
        <v>1</v>
      </c>
      <c r="B39" s="542" t="s">
        <v>171</v>
      </c>
      <c r="C39" s="543" t="s">
        <v>202</v>
      </c>
      <c r="D39" s="543">
        <v>1963</v>
      </c>
      <c r="E39" s="544" t="s">
        <v>49</v>
      </c>
      <c r="F39" s="543" t="s">
        <v>25</v>
      </c>
      <c r="G39" s="544" t="s">
        <v>26</v>
      </c>
      <c r="H39" s="545">
        <v>16.646626204233677</v>
      </c>
      <c r="I39" s="550">
        <v>100</v>
      </c>
      <c r="J39" s="547">
        <f t="shared" si="4"/>
        <v>16.646626204233677</v>
      </c>
      <c r="K39" s="481" t="s">
        <v>311</v>
      </c>
      <c r="L39" s="465"/>
      <c r="N39" s="541"/>
      <c r="O39" s="548">
        <f t="shared" si="0"/>
      </c>
      <c r="P39" s="541">
        <f t="shared" si="1"/>
        <v>1</v>
      </c>
      <c r="Q39" s="548">
        <f t="shared" si="2"/>
        <v>16.646626204233677</v>
      </c>
    </row>
    <row r="40" spans="1:17" ht="15">
      <c r="A40" s="541">
        <v>1</v>
      </c>
      <c r="B40" s="542" t="s">
        <v>153</v>
      </c>
      <c r="C40" s="543" t="s">
        <v>202</v>
      </c>
      <c r="D40" s="543">
        <v>1951</v>
      </c>
      <c r="E40" s="544" t="s">
        <v>49</v>
      </c>
      <c r="F40" s="543" t="s">
        <v>25</v>
      </c>
      <c r="G40" s="544" t="s">
        <v>22</v>
      </c>
      <c r="H40" s="545">
        <v>8.700003572952618</v>
      </c>
      <c r="I40" s="550">
        <v>100</v>
      </c>
      <c r="J40" s="547">
        <f t="shared" si="4"/>
        <v>8.700003572952618</v>
      </c>
      <c r="K40" s="481" t="s">
        <v>311</v>
      </c>
      <c r="L40" s="465"/>
      <c r="N40" s="541"/>
      <c r="O40" s="548">
        <f t="shared" si="0"/>
      </c>
      <c r="P40" s="541">
        <f t="shared" si="1"/>
        <v>1</v>
      </c>
      <c r="Q40" s="548">
        <f t="shared" si="2"/>
        <v>8.700003572952618</v>
      </c>
    </row>
    <row r="41" spans="1:17" ht="15">
      <c r="A41" s="541">
        <v>1</v>
      </c>
      <c r="B41" s="542" t="s">
        <v>172</v>
      </c>
      <c r="C41" s="543" t="s">
        <v>202</v>
      </c>
      <c r="D41" s="543">
        <v>1949</v>
      </c>
      <c r="E41" s="544" t="s">
        <v>49</v>
      </c>
      <c r="F41" s="543" t="s">
        <v>25</v>
      </c>
      <c r="G41" s="544" t="s">
        <v>23</v>
      </c>
      <c r="H41" s="545">
        <v>3.5680624666100695</v>
      </c>
      <c r="I41" s="550">
        <v>100</v>
      </c>
      <c r="J41" s="547">
        <f t="shared" si="4"/>
        <v>3.56806246661007</v>
      </c>
      <c r="K41" s="481" t="s">
        <v>311</v>
      </c>
      <c r="L41" s="465"/>
      <c r="N41" s="541"/>
      <c r="O41" s="548">
        <f t="shared" si="0"/>
      </c>
      <c r="P41" s="541">
        <f t="shared" si="1"/>
        <v>1</v>
      </c>
      <c r="Q41" s="548">
        <f t="shared" si="2"/>
        <v>3.56806246661007</v>
      </c>
    </row>
    <row r="42" spans="1:17" ht="15">
      <c r="A42" s="541">
        <v>1</v>
      </c>
      <c r="B42" s="542" t="s">
        <v>167</v>
      </c>
      <c r="C42" s="543" t="s">
        <v>202</v>
      </c>
      <c r="D42" s="543">
        <v>1953</v>
      </c>
      <c r="E42" s="544" t="s">
        <v>49</v>
      </c>
      <c r="F42" s="543" t="s">
        <v>25</v>
      </c>
      <c r="G42" s="544" t="s">
        <v>23</v>
      </c>
      <c r="H42" s="545">
        <v>7.520206348855466</v>
      </c>
      <c r="I42" s="550">
        <v>100</v>
      </c>
      <c r="J42" s="547">
        <f t="shared" si="4"/>
        <v>7.520206348855466</v>
      </c>
      <c r="K42" s="481" t="s">
        <v>311</v>
      </c>
      <c r="L42" s="465"/>
      <c r="N42" s="541"/>
      <c r="O42" s="548">
        <f t="shared" si="0"/>
      </c>
      <c r="P42" s="541">
        <f t="shared" si="1"/>
        <v>1</v>
      </c>
      <c r="Q42" s="548">
        <f t="shared" si="2"/>
        <v>7.520206348855466</v>
      </c>
    </row>
    <row r="43" spans="1:17" ht="15">
      <c r="A43" s="541">
        <v>1</v>
      </c>
      <c r="B43" s="542" t="s">
        <v>293</v>
      </c>
      <c r="C43" s="543" t="s">
        <v>228</v>
      </c>
      <c r="D43" s="543">
        <v>2002</v>
      </c>
      <c r="E43" s="551" t="s">
        <v>49</v>
      </c>
      <c r="F43" s="543" t="s">
        <v>25</v>
      </c>
      <c r="G43" s="544" t="s">
        <v>199</v>
      </c>
      <c r="H43" s="545">
        <v>3.5879493788655124</v>
      </c>
      <c r="I43" s="550">
        <v>100</v>
      </c>
      <c r="J43" s="547">
        <f t="shared" si="4"/>
        <v>3.5879493788655124</v>
      </c>
      <c r="K43" s="481" t="s">
        <v>311</v>
      </c>
      <c r="L43" s="552" t="s">
        <v>554</v>
      </c>
      <c r="N43" s="541">
        <v>1</v>
      </c>
      <c r="O43" s="548">
        <f t="shared" si="0"/>
        <v>3.5879493788655124</v>
      </c>
      <c r="P43" s="541">
        <f t="shared" si="1"/>
      </c>
      <c r="Q43" s="548">
        <f t="shared" si="2"/>
      </c>
    </row>
    <row r="44" spans="1:19" ht="15">
      <c r="A44" s="541">
        <v>1</v>
      </c>
      <c r="B44" s="542" t="s">
        <v>313</v>
      </c>
      <c r="C44" s="543" t="s">
        <v>193</v>
      </c>
      <c r="D44" s="543">
        <v>1935</v>
      </c>
      <c r="E44" s="544" t="s">
        <v>203</v>
      </c>
      <c r="F44" s="543" t="s">
        <v>25</v>
      </c>
      <c r="G44" s="544" t="s">
        <v>199</v>
      </c>
      <c r="H44" s="545">
        <v>5.079166913351912</v>
      </c>
      <c r="I44" s="550">
        <v>86</v>
      </c>
      <c r="J44" s="547">
        <f>+H44</f>
        <v>5.079166913351912</v>
      </c>
      <c r="K44" s="481" t="s">
        <v>311</v>
      </c>
      <c r="L44" s="552" t="s">
        <v>555</v>
      </c>
      <c r="N44" s="541">
        <v>1</v>
      </c>
      <c r="O44" s="548">
        <f t="shared" si="0"/>
        <v>5.079166913351912</v>
      </c>
      <c r="P44" s="541">
        <f t="shared" si="1"/>
      </c>
      <c r="Q44" s="548">
        <f t="shared" si="2"/>
      </c>
      <c r="S44" s="549"/>
    </row>
    <row r="45" spans="1:17" ht="15">
      <c r="A45" s="541">
        <v>1</v>
      </c>
      <c r="B45" s="542" t="s">
        <v>314</v>
      </c>
      <c r="C45" s="543" t="s">
        <v>193</v>
      </c>
      <c r="D45" s="543">
        <v>1905</v>
      </c>
      <c r="E45" s="544" t="s">
        <v>203</v>
      </c>
      <c r="F45" s="543" t="s">
        <v>25</v>
      </c>
      <c r="G45" s="544" t="s">
        <v>201</v>
      </c>
      <c r="H45" s="545">
        <v>4.009823999565095</v>
      </c>
      <c r="I45" s="550">
        <v>86</v>
      </c>
      <c r="J45" s="547">
        <f>+H45</f>
        <v>4.009823999565095</v>
      </c>
      <c r="K45" s="481" t="s">
        <v>311</v>
      </c>
      <c r="L45" s="552" t="s">
        <v>555</v>
      </c>
      <c r="N45" s="541">
        <v>1</v>
      </c>
      <c r="O45" s="548">
        <f t="shared" si="0"/>
        <v>4.009823999565095</v>
      </c>
      <c r="P45" s="541">
        <f t="shared" si="1"/>
      </c>
      <c r="Q45" s="548">
        <f t="shared" si="2"/>
      </c>
    </row>
    <row r="46" spans="1:17" ht="15">
      <c r="A46" s="541">
        <v>1</v>
      </c>
      <c r="B46" s="542" t="s">
        <v>315</v>
      </c>
      <c r="C46" s="543" t="s">
        <v>316</v>
      </c>
      <c r="D46" s="543">
        <v>1964</v>
      </c>
      <c r="E46" s="544" t="s">
        <v>203</v>
      </c>
      <c r="F46" s="543" t="s">
        <v>25</v>
      </c>
      <c r="G46" s="544" t="s">
        <v>22</v>
      </c>
      <c r="H46" s="545">
        <v>8.670320317827816</v>
      </c>
      <c r="I46" s="550">
        <v>86</v>
      </c>
      <c r="J46" s="547">
        <f>+H46</f>
        <v>8.670320317827816</v>
      </c>
      <c r="K46" s="481" t="s">
        <v>311</v>
      </c>
      <c r="L46" s="552" t="s">
        <v>555</v>
      </c>
      <c r="N46" s="541"/>
      <c r="O46" s="548">
        <f t="shared" si="0"/>
      </c>
      <c r="P46" s="541">
        <f t="shared" si="1"/>
        <v>1</v>
      </c>
      <c r="Q46" s="548">
        <f t="shared" si="2"/>
        <v>8.670320317827816</v>
      </c>
    </row>
    <row r="47" spans="1:17" ht="15">
      <c r="A47" s="541">
        <v>1</v>
      </c>
      <c r="B47" s="542" t="s">
        <v>317</v>
      </c>
      <c r="C47" s="543" t="s">
        <v>318</v>
      </c>
      <c r="D47" s="543">
        <v>2003</v>
      </c>
      <c r="E47" s="544" t="s">
        <v>49</v>
      </c>
      <c r="F47" s="543" t="s">
        <v>25</v>
      </c>
      <c r="G47" s="544" t="s">
        <v>199</v>
      </c>
      <c r="H47" s="545">
        <v>2.645179341724512</v>
      </c>
      <c r="I47" s="546">
        <v>100</v>
      </c>
      <c r="J47" s="547">
        <f aca="true" t="shared" si="5" ref="J47:J55">+H47*I47/100</f>
        <v>2.645179341724512</v>
      </c>
      <c r="K47" s="481" t="s">
        <v>311</v>
      </c>
      <c r="L47" s="552" t="s">
        <v>556</v>
      </c>
      <c r="N47" s="541">
        <v>1</v>
      </c>
      <c r="O47" s="553">
        <f t="shared" si="0"/>
        <v>2.645179341724512</v>
      </c>
      <c r="P47" s="554">
        <f t="shared" si="1"/>
      </c>
      <c r="Q47" s="553">
        <f t="shared" si="2"/>
      </c>
    </row>
    <row r="48" spans="1:17" ht="15">
      <c r="A48" s="541">
        <v>1</v>
      </c>
      <c r="B48" s="542" t="s">
        <v>319</v>
      </c>
      <c r="C48" s="543" t="s">
        <v>320</v>
      </c>
      <c r="D48" s="543">
        <v>1922</v>
      </c>
      <c r="E48" s="544" t="s">
        <v>49</v>
      </c>
      <c r="F48" s="543" t="s">
        <v>25</v>
      </c>
      <c r="G48" s="544" t="s">
        <v>199</v>
      </c>
      <c r="H48" s="545">
        <v>2.904318470988333</v>
      </c>
      <c r="I48" s="546">
        <v>100</v>
      </c>
      <c r="J48" s="547">
        <f t="shared" si="5"/>
        <v>2.904318470988333</v>
      </c>
      <c r="K48" s="481" t="s">
        <v>311</v>
      </c>
      <c r="L48" s="552" t="s">
        <v>556</v>
      </c>
      <c r="N48" s="541">
        <v>1</v>
      </c>
      <c r="O48" s="553">
        <f t="shared" si="0"/>
        <v>2.904318470988333</v>
      </c>
      <c r="P48" s="554">
        <f t="shared" si="1"/>
      </c>
      <c r="Q48" s="553">
        <f t="shared" si="2"/>
      </c>
    </row>
    <row r="49" spans="1:17" ht="15">
      <c r="A49" s="541">
        <v>1</v>
      </c>
      <c r="B49" s="542" t="s">
        <v>561</v>
      </c>
      <c r="C49" s="543" t="s">
        <v>320</v>
      </c>
      <c r="D49" s="543">
        <v>1918</v>
      </c>
      <c r="E49" s="544" t="s">
        <v>49</v>
      </c>
      <c r="F49" s="543" t="s">
        <v>25</v>
      </c>
      <c r="G49" s="544" t="s">
        <v>199</v>
      </c>
      <c r="H49" s="545">
        <v>0.3445801575748869</v>
      </c>
      <c r="I49" s="546">
        <v>100</v>
      </c>
      <c r="J49" s="547">
        <f t="shared" si="5"/>
        <v>0.34458015757488686</v>
      </c>
      <c r="K49" s="481" t="s">
        <v>311</v>
      </c>
      <c r="L49" s="552" t="s">
        <v>556</v>
      </c>
      <c r="N49" s="541">
        <v>1</v>
      </c>
      <c r="O49" s="553">
        <f t="shared" si="0"/>
        <v>0.34458015757488686</v>
      </c>
      <c r="P49" s="554">
        <f t="shared" si="1"/>
      </c>
      <c r="Q49" s="553">
        <f t="shared" si="2"/>
      </c>
    </row>
    <row r="50" spans="1:17" ht="15">
      <c r="A50" s="541">
        <v>1</v>
      </c>
      <c r="B50" s="542" t="s">
        <v>321</v>
      </c>
      <c r="C50" s="543" t="s">
        <v>322</v>
      </c>
      <c r="D50" s="543">
        <v>1920</v>
      </c>
      <c r="E50" s="544" t="s">
        <v>49</v>
      </c>
      <c r="F50" s="543" t="s">
        <v>25</v>
      </c>
      <c r="G50" s="544" t="s">
        <v>199</v>
      </c>
      <c r="H50" s="545">
        <v>2.8247723366396995</v>
      </c>
      <c r="I50" s="546">
        <v>100</v>
      </c>
      <c r="J50" s="547">
        <f t="shared" si="5"/>
        <v>2.8247723366396995</v>
      </c>
      <c r="K50" s="481" t="s">
        <v>311</v>
      </c>
      <c r="L50" s="552" t="s">
        <v>556</v>
      </c>
      <c r="N50" s="541">
        <v>1</v>
      </c>
      <c r="O50" s="553">
        <f t="shared" si="0"/>
        <v>2.8247723366396995</v>
      </c>
      <c r="P50" s="554">
        <f t="shared" si="1"/>
      </c>
      <c r="Q50" s="553">
        <f t="shared" si="2"/>
      </c>
    </row>
    <row r="51" spans="1:17" ht="15">
      <c r="A51" s="541">
        <v>1</v>
      </c>
      <c r="B51" s="542" t="s">
        <v>323</v>
      </c>
      <c r="C51" s="543" t="s">
        <v>320</v>
      </c>
      <c r="D51" s="543">
        <v>1920</v>
      </c>
      <c r="E51" s="544" t="s">
        <v>49</v>
      </c>
      <c r="F51" s="543" t="s">
        <v>25</v>
      </c>
      <c r="G51" s="544" t="s">
        <v>199</v>
      </c>
      <c r="H51" s="545">
        <v>0.3445801575748869</v>
      </c>
      <c r="I51" s="546">
        <v>100</v>
      </c>
      <c r="J51" s="547">
        <f t="shared" si="5"/>
        <v>0.34458015757488686</v>
      </c>
      <c r="K51" s="481" t="s">
        <v>311</v>
      </c>
      <c r="L51" s="552" t="s">
        <v>556</v>
      </c>
      <c r="N51" s="541">
        <v>1</v>
      </c>
      <c r="O51" s="553">
        <f t="shared" si="0"/>
        <v>0.34458015757488686</v>
      </c>
      <c r="P51" s="554">
        <f t="shared" si="1"/>
      </c>
      <c r="Q51" s="553">
        <f t="shared" si="2"/>
      </c>
    </row>
    <row r="52" spans="1:17" ht="15">
      <c r="A52" s="541">
        <v>1</v>
      </c>
      <c r="B52" s="542" t="s">
        <v>324</v>
      </c>
      <c r="C52" s="543" t="s">
        <v>148</v>
      </c>
      <c r="D52" s="543">
        <v>1939</v>
      </c>
      <c r="E52" s="544" t="s">
        <v>49</v>
      </c>
      <c r="F52" s="543" t="s">
        <v>416</v>
      </c>
      <c r="G52" s="544" t="s">
        <v>199</v>
      </c>
      <c r="H52" s="545">
        <v>0.2927919552930177</v>
      </c>
      <c r="I52" s="546">
        <v>100</v>
      </c>
      <c r="J52" s="547">
        <f t="shared" si="5"/>
        <v>0.2927919552930177</v>
      </c>
      <c r="K52" s="481" t="s">
        <v>311</v>
      </c>
      <c r="L52" s="552" t="s">
        <v>556</v>
      </c>
      <c r="N52" s="541">
        <v>1</v>
      </c>
      <c r="O52" s="553">
        <f t="shared" si="0"/>
        <v>0.2927919552930177</v>
      </c>
      <c r="P52" s="554">
        <f t="shared" si="1"/>
      </c>
      <c r="Q52" s="553">
        <f t="shared" si="2"/>
      </c>
    </row>
    <row r="53" spans="1:17" ht="15">
      <c r="A53" s="541">
        <v>1</v>
      </c>
      <c r="B53" s="542" t="s">
        <v>325</v>
      </c>
      <c r="C53" s="543" t="s">
        <v>322</v>
      </c>
      <c r="D53" s="543">
        <v>1920</v>
      </c>
      <c r="E53" s="544" t="s">
        <v>49</v>
      </c>
      <c r="F53" s="543" t="s">
        <v>25</v>
      </c>
      <c r="G53" s="544" t="s">
        <v>199</v>
      </c>
      <c r="H53" s="545">
        <v>3.4092079924961896</v>
      </c>
      <c r="I53" s="546">
        <v>100</v>
      </c>
      <c r="J53" s="547">
        <f t="shared" si="5"/>
        <v>3.4092079924961896</v>
      </c>
      <c r="K53" s="481" t="s">
        <v>311</v>
      </c>
      <c r="L53" s="552" t="s">
        <v>556</v>
      </c>
      <c r="N53" s="541">
        <v>1</v>
      </c>
      <c r="O53" s="553">
        <f t="shared" si="0"/>
        <v>3.4092079924961896</v>
      </c>
      <c r="P53" s="555">
        <f t="shared" si="1"/>
      </c>
      <c r="Q53" s="553">
        <f t="shared" si="2"/>
      </c>
    </row>
    <row r="54" spans="1:17" ht="15">
      <c r="A54" s="541">
        <v>1</v>
      </c>
      <c r="B54" s="542" t="s">
        <v>326</v>
      </c>
      <c r="C54" s="543" t="s">
        <v>320</v>
      </c>
      <c r="D54" s="543">
        <v>1938</v>
      </c>
      <c r="E54" s="544" t="s">
        <v>49</v>
      </c>
      <c r="F54" s="543" t="s">
        <v>25</v>
      </c>
      <c r="G54" s="544" t="s">
        <v>199</v>
      </c>
      <c r="H54" s="545">
        <v>1.4275463670959603</v>
      </c>
      <c r="I54" s="546">
        <v>100</v>
      </c>
      <c r="J54" s="547">
        <f t="shared" si="5"/>
        <v>1.42754636709596</v>
      </c>
      <c r="K54" s="481" t="s">
        <v>311</v>
      </c>
      <c r="L54" s="552" t="s">
        <v>556</v>
      </c>
      <c r="N54" s="541">
        <v>1</v>
      </c>
      <c r="O54" s="553">
        <f t="shared" si="0"/>
        <v>1.42754636709596</v>
      </c>
      <c r="P54" s="555">
        <f t="shared" si="1"/>
      </c>
      <c r="Q54" s="553">
        <f t="shared" si="2"/>
      </c>
    </row>
    <row r="55" spans="1:17" ht="15">
      <c r="A55" s="541">
        <v>1</v>
      </c>
      <c r="B55" s="542" t="s">
        <v>327</v>
      </c>
      <c r="C55" s="543" t="s">
        <v>148</v>
      </c>
      <c r="D55" s="543">
        <v>1990</v>
      </c>
      <c r="E55" s="544" t="s">
        <v>49</v>
      </c>
      <c r="F55" s="543" t="s">
        <v>416</v>
      </c>
      <c r="G55" s="544" t="s">
        <v>199</v>
      </c>
      <c r="H55" s="545">
        <v>0.141154008391981</v>
      </c>
      <c r="I55" s="546">
        <v>100</v>
      </c>
      <c r="J55" s="547">
        <f t="shared" si="5"/>
        <v>0.141154008391981</v>
      </c>
      <c r="K55" s="481" t="s">
        <v>311</v>
      </c>
      <c r="L55" s="552" t="s">
        <v>556</v>
      </c>
      <c r="N55" s="541">
        <v>1</v>
      </c>
      <c r="O55" s="553">
        <f t="shared" si="0"/>
        <v>0.141154008391981</v>
      </c>
      <c r="P55" s="555">
        <f t="shared" si="1"/>
      </c>
      <c r="Q55" s="553">
        <f t="shared" si="2"/>
      </c>
    </row>
    <row r="56" spans="1:17" ht="15">
      <c r="A56" s="541">
        <v>1</v>
      </c>
      <c r="B56" s="542" t="s">
        <v>328</v>
      </c>
      <c r="C56" s="543" t="s">
        <v>202</v>
      </c>
      <c r="D56" s="543">
        <v>1954</v>
      </c>
      <c r="E56" s="544" t="s">
        <v>329</v>
      </c>
      <c r="F56" s="543" t="s">
        <v>25</v>
      </c>
      <c r="G56" s="544" t="s">
        <v>22</v>
      </c>
      <c r="H56" s="545">
        <v>20.55348739969345</v>
      </c>
      <c r="I56" s="546">
        <v>100</v>
      </c>
      <c r="J56" s="547">
        <f t="shared" si="4"/>
        <v>20.55348739969345</v>
      </c>
      <c r="K56" s="481" t="s">
        <v>311</v>
      </c>
      <c r="L56" s="552" t="s">
        <v>557</v>
      </c>
      <c r="N56" s="541"/>
      <c r="O56" s="553">
        <f t="shared" si="0"/>
      </c>
      <c r="P56" s="555">
        <f t="shared" si="1"/>
        <v>1</v>
      </c>
      <c r="Q56" s="553">
        <f t="shared" si="2"/>
        <v>20.55348739969345</v>
      </c>
    </row>
    <row r="57" spans="1:19" ht="15">
      <c r="A57" s="541">
        <v>1</v>
      </c>
      <c r="B57" s="542" t="s">
        <v>330</v>
      </c>
      <c r="C57" s="543" t="s">
        <v>202</v>
      </c>
      <c r="D57" s="543">
        <v>1997</v>
      </c>
      <c r="E57" s="544" t="s">
        <v>329</v>
      </c>
      <c r="F57" s="543" t="s">
        <v>25</v>
      </c>
      <c r="G57" s="544" t="s">
        <v>23</v>
      </c>
      <c r="H57" s="545">
        <v>10.915780735598783</v>
      </c>
      <c r="I57" s="546">
        <v>100</v>
      </c>
      <c r="J57" s="547">
        <f t="shared" si="4"/>
        <v>10.915780735598782</v>
      </c>
      <c r="K57" s="481" t="s">
        <v>311</v>
      </c>
      <c r="L57" s="552" t="s">
        <v>557</v>
      </c>
      <c r="N57" s="541"/>
      <c r="O57" s="553">
        <f t="shared" si="0"/>
      </c>
      <c r="P57" s="555">
        <f t="shared" si="1"/>
        <v>1</v>
      </c>
      <c r="Q57" s="553">
        <f t="shared" si="2"/>
        <v>10.915780735598782</v>
      </c>
      <c r="S57" s="549"/>
    </row>
    <row r="58" spans="1:17" ht="15">
      <c r="A58" s="541">
        <v>1</v>
      </c>
      <c r="B58" s="542" t="s">
        <v>331</v>
      </c>
      <c r="C58" s="543" t="s">
        <v>202</v>
      </c>
      <c r="D58" s="543">
        <v>1988</v>
      </c>
      <c r="E58" s="544" t="s">
        <v>329</v>
      </c>
      <c r="F58" s="543" t="s">
        <v>25</v>
      </c>
      <c r="G58" s="544" t="s">
        <v>23</v>
      </c>
      <c r="H58" s="545">
        <v>10.226721803812376</v>
      </c>
      <c r="I58" s="546">
        <v>100</v>
      </c>
      <c r="J58" s="547">
        <f t="shared" si="4"/>
        <v>10.226721803812376</v>
      </c>
      <c r="K58" s="481" t="s">
        <v>311</v>
      </c>
      <c r="L58" s="552" t="s">
        <v>557</v>
      </c>
      <c r="N58" s="541"/>
      <c r="O58" s="553">
        <f t="shared" si="0"/>
      </c>
      <c r="P58" s="555">
        <f t="shared" si="1"/>
        <v>1</v>
      </c>
      <c r="Q58" s="553">
        <f t="shared" si="2"/>
        <v>10.226721803812376</v>
      </c>
    </row>
    <row r="59" spans="1:17" ht="15">
      <c r="A59" s="541">
        <v>1</v>
      </c>
      <c r="B59" s="542" t="s">
        <v>332</v>
      </c>
      <c r="C59" s="543" t="s">
        <v>202</v>
      </c>
      <c r="D59" s="543">
        <v>1954</v>
      </c>
      <c r="E59" s="544" t="s">
        <v>329</v>
      </c>
      <c r="F59" s="543" t="s">
        <v>25</v>
      </c>
      <c r="G59" s="544" t="s">
        <v>23</v>
      </c>
      <c r="H59" s="545">
        <v>11.594995833255728</v>
      </c>
      <c r="I59" s="546">
        <v>100</v>
      </c>
      <c r="J59" s="547">
        <f t="shared" si="4"/>
        <v>11.594995833255728</v>
      </c>
      <c r="K59" s="481" t="s">
        <v>311</v>
      </c>
      <c r="L59" s="552" t="s">
        <v>557</v>
      </c>
      <c r="N59" s="541"/>
      <c r="O59" s="553">
        <f t="shared" si="0"/>
      </c>
      <c r="P59" s="555">
        <f t="shared" si="1"/>
        <v>1</v>
      </c>
      <c r="Q59" s="553">
        <f t="shared" si="2"/>
        <v>11.594995833255728</v>
      </c>
    </row>
    <row r="60" spans="1:17" ht="15">
      <c r="A60" s="541">
        <v>1</v>
      </c>
      <c r="B60" s="542" t="s">
        <v>333</v>
      </c>
      <c r="C60" s="543" t="s">
        <v>202</v>
      </c>
      <c r="D60" s="543">
        <v>1988</v>
      </c>
      <c r="E60" s="544" t="s">
        <v>329</v>
      </c>
      <c r="F60" s="543" t="s">
        <v>25</v>
      </c>
      <c r="G60" s="544" t="s">
        <v>23</v>
      </c>
      <c r="H60" s="545">
        <v>18.00955936002518</v>
      </c>
      <c r="I60" s="546">
        <v>100</v>
      </c>
      <c r="J60" s="547">
        <f t="shared" si="4"/>
        <v>18.00955936002518</v>
      </c>
      <c r="K60" s="481" t="s">
        <v>311</v>
      </c>
      <c r="L60" s="552" t="s">
        <v>557</v>
      </c>
      <c r="N60" s="541"/>
      <c r="O60" s="553">
        <f t="shared" si="0"/>
      </c>
      <c r="P60" s="555">
        <f t="shared" si="1"/>
        <v>1</v>
      </c>
      <c r="Q60" s="553">
        <f t="shared" si="2"/>
        <v>18.00955936002518</v>
      </c>
    </row>
    <row r="61" spans="1:17" ht="15">
      <c r="A61" s="541">
        <v>1</v>
      </c>
      <c r="B61" s="542" t="s">
        <v>334</v>
      </c>
      <c r="C61" s="543" t="s">
        <v>202</v>
      </c>
      <c r="D61" s="543">
        <v>1954</v>
      </c>
      <c r="E61" s="544" t="s">
        <v>329</v>
      </c>
      <c r="F61" s="543" t="s">
        <v>25</v>
      </c>
      <c r="G61" s="544" t="s">
        <v>23</v>
      </c>
      <c r="H61" s="545">
        <v>10.085464902721771</v>
      </c>
      <c r="I61" s="546">
        <v>100</v>
      </c>
      <c r="J61" s="547">
        <f t="shared" si="4"/>
        <v>10.085464902721771</v>
      </c>
      <c r="K61" s="481" t="s">
        <v>311</v>
      </c>
      <c r="L61" s="552" t="s">
        <v>557</v>
      </c>
      <c r="N61" s="541"/>
      <c r="O61" s="553">
        <f t="shared" si="0"/>
      </c>
      <c r="P61" s="555">
        <f t="shared" si="1"/>
        <v>1</v>
      </c>
      <c r="Q61" s="553">
        <f t="shared" si="2"/>
        <v>10.085464902721771</v>
      </c>
    </row>
    <row r="62" spans="1:17" ht="15">
      <c r="A62" s="541">
        <v>1</v>
      </c>
      <c r="B62" s="542" t="s">
        <v>335</v>
      </c>
      <c r="C62" s="543" t="s">
        <v>148</v>
      </c>
      <c r="D62" s="543">
        <v>1954</v>
      </c>
      <c r="E62" s="544" t="s">
        <v>329</v>
      </c>
      <c r="F62" s="543" t="s">
        <v>416</v>
      </c>
      <c r="G62" s="544" t="s">
        <v>199</v>
      </c>
      <c r="H62" s="545">
        <v>0.18939930338422084</v>
      </c>
      <c r="I62" s="546">
        <v>100</v>
      </c>
      <c r="J62" s="547">
        <f>+H62*I62/100</f>
        <v>0.18939930338422084</v>
      </c>
      <c r="K62" s="481" t="s">
        <v>311</v>
      </c>
      <c r="L62" s="552" t="s">
        <v>557</v>
      </c>
      <c r="N62" s="541">
        <v>1</v>
      </c>
      <c r="O62" s="553">
        <f t="shared" si="0"/>
        <v>0.18939930338422084</v>
      </c>
      <c r="P62" s="555">
        <f t="shared" si="1"/>
      </c>
      <c r="Q62" s="553">
        <f t="shared" si="2"/>
      </c>
    </row>
    <row r="63" spans="1:17" ht="15">
      <c r="A63" s="541">
        <v>1</v>
      </c>
      <c r="B63" s="542" t="s">
        <v>336</v>
      </c>
      <c r="C63" s="543" t="s">
        <v>148</v>
      </c>
      <c r="D63" s="543">
        <v>1916</v>
      </c>
      <c r="E63" s="544" t="s">
        <v>329</v>
      </c>
      <c r="F63" s="543" t="s">
        <v>417</v>
      </c>
      <c r="G63" s="544" t="s">
        <v>199</v>
      </c>
      <c r="H63" s="545">
        <v>1.377768</v>
      </c>
      <c r="I63" s="546">
        <v>100</v>
      </c>
      <c r="J63" s="547">
        <f aca="true" t="shared" si="6" ref="J63:J79">+H63*I63/100</f>
        <v>1.377768</v>
      </c>
      <c r="K63" s="481" t="s">
        <v>311</v>
      </c>
      <c r="L63" s="552" t="s">
        <v>557</v>
      </c>
      <c r="N63" s="541">
        <v>1</v>
      </c>
      <c r="O63" s="553">
        <f t="shared" si="0"/>
        <v>1.377768</v>
      </c>
      <c r="P63" s="554">
        <f t="shared" si="1"/>
      </c>
      <c r="Q63" s="553">
        <f t="shared" si="2"/>
      </c>
    </row>
    <row r="64" spans="1:17" ht="15">
      <c r="A64" s="541">
        <v>1</v>
      </c>
      <c r="B64" s="542" t="s">
        <v>337</v>
      </c>
      <c r="C64" s="543" t="s">
        <v>148</v>
      </c>
      <c r="D64" s="543">
        <v>1904</v>
      </c>
      <c r="E64" s="544" t="s">
        <v>329</v>
      </c>
      <c r="F64" s="543" t="s">
        <v>417</v>
      </c>
      <c r="G64" s="544" t="s">
        <v>199</v>
      </c>
      <c r="H64" s="545">
        <v>0.897548</v>
      </c>
      <c r="I64" s="546">
        <v>100</v>
      </c>
      <c r="J64" s="547">
        <f t="shared" si="6"/>
        <v>0.897548</v>
      </c>
      <c r="K64" s="481" t="s">
        <v>311</v>
      </c>
      <c r="L64" s="552" t="s">
        <v>557</v>
      </c>
      <c r="N64" s="541">
        <v>1</v>
      </c>
      <c r="O64" s="553">
        <f t="shared" si="0"/>
        <v>0.897548</v>
      </c>
      <c r="P64" s="554">
        <f t="shared" si="1"/>
      </c>
      <c r="Q64" s="553">
        <f t="shared" si="2"/>
      </c>
    </row>
    <row r="65" spans="1:17" ht="15">
      <c r="A65" s="541">
        <v>1</v>
      </c>
      <c r="B65" s="542" t="s">
        <v>338</v>
      </c>
      <c r="C65" s="543" t="s">
        <v>148</v>
      </c>
      <c r="D65" s="543">
        <v>1916</v>
      </c>
      <c r="E65" s="544" t="s">
        <v>329</v>
      </c>
      <c r="F65" s="543" t="s">
        <v>416</v>
      </c>
      <c r="G65" s="544" t="s">
        <v>199</v>
      </c>
      <c r="H65" s="545">
        <v>0.13619639763047364</v>
      </c>
      <c r="I65" s="546">
        <v>100</v>
      </c>
      <c r="J65" s="547">
        <f t="shared" si="6"/>
        <v>0.13619639763047364</v>
      </c>
      <c r="K65" s="481" t="s">
        <v>311</v>
      </c>
      <c r="L65" s="552" t="s">
        <v>557</v>
      </c>
      <c r="N65" s="541">
        <v>1</v>
      </c>
      <c r="O65" s="553">
        <f t="shared" si="0"/>
        <v>0.13619639763047364</v>
      </c>
      <c r="P65" s="554">
        <f t="shared" si="1"/>
      </c>
      <c r="Q65" s="553">
        <f t="shared" si="2"/>
      </c>
    </row>
    <row r="66" spans="1:17" ht="15">
      <c r="A66" s="541">
        <v>1</v>
      </c>
      <c r="B66" s="542" t="s">
        <v>339</v>
      </c>
      <c r="C66" s="543" t="s">
        <v>340</v>
      </c>
      <c r="D66" s="543">
        <v>1905</v>
      </c>
      <c r="E66" s="544" t="s">
        <v>329</v>
      </c>
      <c r="F66" s="543" t="s">
        <v>416</v>
      </c>
      <c r="G66" s="544" t="s">
        <v>199</v>
      </c>
      <c r="H66" s="545">
        <v>0.21360080701078346</v>
      </c>
      <c r="I66" s="546">
        <v>100</v>
      </c>
      <c r="J66" s="547">
        <f t="shared" si="6"/>
        <v>0.21360080701078346</v>
      </c>
      <c r="K66" s="481" t="s">
        <v>311</v>
      </c>
      <c r="L66" s="552" t="s">
        <v>557</v>
      </c>
      <c r="N66" s="541">
        <v>1</v>
      </c>
      <c r="O66" s="553">
        <f t="shared" si="0"/>
        <v>0.21360080701078346</v>
      </c>
      <c r="P66" s="554">
        <f t="shared" si="1"/>
      </c>
      <c r="Q66" s="553">
        <f t="shared" si="2"/>
      </c>
    </row>
    <row r="67" spans="1:17" ht="15">
      <c r="A67" s="541">
        <v>1</v>
      </c>
      <c r="B67" s="542" t="s">
        <v>341</v>
      </c>
      <c r="C67" s="543" t="s">
        <v>148</v>
      </c>
      <c r="D67" s="543">
        <v>1952</v>
      </c>
      <c r="E67" s="544" t="s">
        <v>329</v>
      </c>
      <c r="F67" s="543" t="s">
        <v>25</v>
      </c>
      <c r="G67" s="544" t="s">
        <v>199</v>
      </c>
      <c r="H67" s="545">
        <v>1.67492069222973</v>
      </c>
      <c r="I67" s="546">
        <v>100</v>
      </c>
      <c r="J67" s="547">
        <f t="shared" si="6"/>
        <v>1.67492069222973</v>
      </c>
      <c r="K67" s="481" t="s">
        <v>311</v>
      </c>
      <c r="L67" s="552" t="s">
        <v>557</v>
      </c>
      <c r="N67" s="541">
        <v>1</v>
      </c>
      <c r="O67" s="553">
        <f t="shared" si="0"/>
        <v>1.67492069222973</v>
      </c>
      <c r="P67" s="554">
        <f t="shared" si="1"/>
      </c>
      <c r="Q67" s="553">
        <f t="shared" si="2"/>
      </c>
    </row>
    <row r="68" spans="1:17" ht="15">
      <c r="A68" s="541">
        <v>1</v>
      </c>
      <c r="B68" s="542" t="s">
        <v>342</v>
      </c>
      <c r="C68" s="543" t="s">
        <v>148</v>
      </c>
      <c r="D68" s="543">
        <v>1942</v>
      </c>
      <c r="E68" s="544" t="s">
        <v>329</v>
      </c>
      <c r="F68" s="543" t="s">
        <v>416</v>
      </c>
      <c r="G68" s="544" t="s">
        <v>199</v>
      </c>
      <c r="H68" s="545">
        <v>0.3275249983374075</v>
      </c>
      <c r="I68" s="546">
        <v>100</v>
      </c>
      <c r="J68" s="547">
        <f t="shared" si="6"/>
        <v>0.3275249983374075</v>
      </c>
      <c r="K68" s="481" t="s">
        <v>311</v>
      </c>
      <c r="L68" s="552" t="s">
        <v>557</v>
      </c>
      <c r="N68" s="541">
        <v>1</v>
      </c>
      <c r="O68" s="553">
        <f t="shared" si="0"/>
        <v>0.3275249983374075</v>
      </c>
      <c r="P68" s="554">
        <f t="shared" si="1"/>
      </c>
      <c r="Q68" s="553">
        <f t="shared" si="2"/>
      </c>
    </row>
    <row r="69" spans="1:17" ht="15">
      <c r="A69" s="541">
        <v>1</v>
      </c>
      <c r="B69" s="542" t="s">
        <v>343</v>
      </c>
      <c r="C69" s="543" t="s">
        <v>340</v>
      </c>
      <c r="D69" s="543">
        <v>1905</v>
      </c>
      <c r="E69" s="544" t="s">
        <v>329</v>
      </c>
      <c r="F69" s="543" t="s">
        <v>416</v>
      </c>
      <c r="G69" s="544" t="s">
        <v>199</v>
      </c>
      <c r="H69" s="545">
        <v>0.314828900155645</v>
      </c>
      <c r="I69" s="546">
        <v>100</v>
      </c>
      <c r="J69" s="547">
        <f t="shared" si="6"/>
        <v>0.314828900155645</v>
      </c>
      <c r="K69" s="481" t="s">
        <v>311</v>
      </c>
      <c r="L69" s="552" t="s">
        <v>557</v>
      </c>
      <c r="N69" s="541">
        <v>1</v>
      </c>
      <c r="O69" s="553">
        <f t="shared" si="0"/>
        <v>0.314828900155645</v>
      </c>
      <c r="P69" s="554">
        <f t="shared" si="1"/>
      </c>
      <c r="Q69" s="553">
        <f t="shared" si="2"/>
      </c>
    </row>
    <row r="70" spans="1:17" ht="15">
      <c r="A70" s="541">
        <v>1</v>
      </c>
      <c r="B70" s="542" t="s">
        <v>344</v>
      </c>
      <c r="C70" s="543" t="s">
        <v>340</v>
      </c>
      <c r="D70" s="543">
        <v>1907</v>
      </c>
      <c r="E70" s="544" t="s">
        <v>329</v>
      </c>
      <c r="F70" s="543" t="s">
        <v>416</v>
      </c>
      <c r="G70" s="544" t="s">
        <v>199</v>
      </c>
      <c r="H70" s="545">
        <v>0.42471481860381793</v>
      </c>
      <c r="I70" s="546">
        <v>100</v>
      </c>
      <c r="J70" s="547">
        <f t="shared" si="6"/>
        <v>0.42471481860381793</v>
      </c>
      <c r="K70" s="481" t="s">
        <v>311</v>
      </c>
      <c r="L70" s="552" t="s">
        <v>557</v>
      </c>
      <c r="N70" s="541">
        <v>1</v>
      </c>
      <c r="O70" s="553">
        <f t="shared" si="0"/>
        <v>0.42471481860381793</v>
      </c>
      <c r="P70" s="554">
        <f t="shared" si="1"/>
      </c>
      <c r="Q70" s="553">
        <f t="shared" si="2"/>
      </c>
    </row>
    <row r="71" spans="1:17" ht="15">
      <c r="A71" s="541">
        <v>1</v>
      </c>
      <c r="B71" s="542" t="s">
        <v>345</v>
      </c>
      <c r="C71" s="543" t="s">
        <v>202</v>
      </c>
      <c r="D71" s="543">
        <v>1922</v>
      </c>
      <c r="E71" s="544" t="s">
        <v>329</v>
      </c>
      <c r="F71" s="543" t="s">
        <v>416</v>
      </c>
      <c r="G71" s="544" t="s">
        <v>199</v>
      </c>
      <c r="H71" s="545">
        <v>0.4884718747159664</v>
      </c>
      <c r="I71" s="546">
        <v>100</v>
      </c>
      <c r="J71" s="547">
        <f t="shared" si="6"/>
        <v>0.4884718747159664</v>
      </c>
      <c r="K71" s="481" t="s">
        <v>311</v>
      </c>
      <c r="L71" s="552" t="s">
        <v>557</v>
      </c>
      <c r="N71" s="541">
        <v>1</v>
      </c>
      <c r="O71" s="553">
        <f t="shared" si="0"/>
        <v>0.4884718747159664</v>
      </c>
      <c r="P71" s="554">
        <f t="shared" si="1"/>
      </c>
      <c r="Q71" s="553">
        <f t="shared" si="2"/>
      </c>
    </row>
    <row r="72" spans="1:17" ht="15">
      <c r="A72" s="541">
        <v>1</v>
      </c>
      <c r="B72" s="542" t="s">
        <v>346</v>
      </c>
      <c r="C72" s="543" t="s">
        <v>148</v>
      </c>
      <c r="D72" s="543">
        <v>1901</v>
      </c>
      <c r="E72" s="544" t="s">
        <v>329</v>
      </c>
      <c r="F72" s="543" t="s">
        <v>416</v>
      </c>
      <c r="G72" s="544" t="s">
        <v>199</v>
      </c>
      <c r="H72" s="545">
        <v>0.660887651161612</v>
      </c>
      <c r="I72" s="546">
        <v>100</v>
      </c>
      <c r="J72" s="547">
        <f t="shared" si="6"/>
        <v>0.660887651161612</v>
      </c>
      <c r="K72" s="481" t="s">
        <v>311</v>
      </c>
      <c r="L72" s="552" t="s">
        <v>557</v>
      </c>
      <c r="N72" s="541">
        <v>1</v>
      </c>
      <c r="O72" s="553">
        <f t="shared" si="0"/>
        <v>0.660887651161612</v>
      </c>
      <c r="P72" s="554">
        <f t="shared" si="1"/>
      </c>
      <c r="Q72" s="553">
        <f t="shared" si="2"/>
      </c>
    </row>
    <row r="73" spans="1:17" ht="15">
      <c r="A73" s="541">
        <v>1</v>
      </c>
      <c r="B73" s="542" t="s">
        <v>347</v>
      </c>
      <c r="C73" s="543" t="s">
        <v>340</v>
      </c>
      <c r="D73" s="543">
        <v>1905</v>
      </c>
      <c r="E73" s="544" t="s">
        <v>329</v>
      </c>
      <c r="F73" s="543" t="s">
        <v>416</v>
      </c>
      <c r="G73" s="544" t="s">
        <v>199</v>
      </c>
      <c r="H73" s="545">
        <v>0.5425069924156682</v>
      </c>
      <c r="I73" s="546">
        <v>100</v>
      </c>
      <c r="J73" s="547">
        <f t="shared" si="6"/>
        <v>0.5425069924156682</v>
      </c>
      <c r="K73" s="481" t="s">
        <v>311</v>
      </c>
      <c r="L73" s="552" t="s">
        <v>557</v>
      </c>
      <c r="N73" s="541">
        <v>1</v>
      </c>
      <c r="O73" s="553">
        <f aca="true" t="shared" si="7" ref="O73:O83">+IF(N73=1,J73,"")</f>
        <v>0.5425069924156682</v>
      </c>
      <c r="P73" s="554">
        <f aca="true" t="shared" si="8" ref="P73:P83">+IF(N73=1,"",1)</f>
      </c>
      <c r="Q73" s="553">
        <f aca="true" t="shared" si="9" ref="Q73:Q83">+IF(P73=1,J73,"")</f>
      </c>
    </row>
    <row r="74" spans="1:17" ht="15">
      <c r="A74" s="541">
        <v>1</v>
      </c>
      <c r="B74" s="542" t="s">
        <v>348</v>
      </c>
      <c r="C74" s="543" t="s">
        <v>148</v>
      </c>
      <c r="D74" s="543">
        <v>1905</v>
      </c>
      <c r="E74" s="544" t="s">
        <v>329</v>
      </c>
      <c r="F74" s="543" t="s">
        <v>416</v>
      </c>
      <c r="G74" s="544" t="s">
        <v>199</v>
      </c>
      <c r="H74" s="545">
        <v>0.20442806703246383</v>
      </c>
      <c r="I74" s="546">
        <v>100</v>
      </c>
      <c r="J74" s="547">
        <f t="shared" si="6"/>
        <v>0.20442806703246383</v>
      </c>
      <c r="K74" s="481" t="s">
        <v>311</v>
      </c>
      <c r="L74" s="552" t="s">
        <v>557</v>
      </c>
      <c r="N74" s="541">
        <v>1</v>
      </c>
      <c r="O74" s="553">
        <f t="shared" si="7"/>
        <v>0.20442806703246383</v>
      </c>
      <c r="P74" s="554">
        <f t="shared" si="8"/>
      </c>
      <c r="Q74" s="553">
        <f t="shared" si="9"/>
      </c>
    </row>
    <row r="75" spans="1:17" ht="15">
      <c r="A75" s="541">
        <v>1</v>
      </c>
      <c r="B75" s="542" t="s">
        <v>349</v>
      </c>
      <c r="C75" s="543" t="s">
        <v>340</v>
      </c>
      <c r="D75" s="543">
        <v>1905</v>
      </c>
      <c r="E75" s="544" t="s">
        <v>329</v>
      </c>
      <c r="F75" s="543" t="s">
        <v>416</v>
      </c>
      <c r="G75" s="544" t="s">
        <v>199</v>
      </c>
      <c r="H75" s="545">
        <v>0.29517046527976976</v>
      </c>
      <c r="I75" s="546">
        <v>100</v>
      </c>
      <c r="J75" s="547">
        <f t="shared" si="6"/>
        <v>0.29517046527976976</v>
      </c>
      <c r="K75" s="481" t="s">
        <v>311</v>
      </c>
      <c r="L75" s="552" t="s">
        <v>557</v>
      </c>
      <c r="N75" s="541">
        <v>1</v>
      </c>
      <c r="O75" s="553">
        <f t="shared" si="7"/>
        <v>0.29517046527976976</v>
      </c>
      <c r="P75" s="554">
        <f t="shared" si="8"/>
      </c>
      <c r="Q75" s="553">
        <f t="shared" si="9"/>
      </c>
    </row>
    <row r="76" spans="1:17" ht="15">
      <c r="A76" s="541">
        <v>1</v>
      </c>
      <c r="B76" s="542" t="s">
        <v>350</v>
      </c>
      <c r="C76" s="543" t="s">
        <v>148</v>
      </c>
      <c r="D76" s="543">
        <v>1943</v>
      </c>
      <c r="E76" s="544" t="s">
        <v>329</v>
      </c>
      <c r="F76" s="543" t="s">
        <v>417</v>
      </c>
      <c r="G76" s="544" t="s">
        <v>199</v>
      </c>
      <c r="H76" s="545">
        <v>2.3857631001253807</v>
      </c>
      <c r="I76" s="546">
        <v>100</v>
      </c>
      <c r="J76" s="547">
        <f t="shared" si="6"/>
        <v>2.3857631001253807</v>
      </c>
      <c r="K76" s="481" t="s">
        <v>311</v>
      </c>
      <c r="L76" s="552" t="s">
        <v>557</v>
      </c>
      <c r="N76" s="541">
        <v>1</v>
      </c>
      <c r="O76" s="553">
        <f t="shared" si="7"/>
        <v>2.3857631001253807</v>
      </c>
      <c r="P76" s="554">
        <f t="shared" si="8"/>
      </c>
      <c r="Q76" s="553">
        <f t="shared" si="9"/>
      </c>
    </row>
    <row r="77" spans="1:17" ht="15">
      <c r="A77" s="541">
        <v>1</v>
      </c>
      <c r="B77" s="542" t="s">
        <v>351</v>
      </c>
      <c r="C77" s="543" t="s">
        <v>148</v>
      </c>
      <c r="D77" s="543">
        <v>1957</v>
      </c>
      <c r="E77" s="544" t="s">
        <v>329</v>
      </c>
      <c r="F77" s="543" t="s">
        <v>416</v>
      </c>
      <c r="G77" s="544" t="s">
        <v>199</v>
      </c>
      <c r="H77" s="545">
        <v>0.19253112159715813</v>
      </c>
      <c r="I77" s="546">
        <v>100</v>
      </c>
      <c r="J77" s="547">
        <f t="shared" si="6"/>
        <v>0.19253112159715813</v>
      </c>
      <c r="K77" s="481" t="s">
        <v>311</v>
      </c>
      <c r="L77" s="552" t="s">
        <v>557</v>
      </c>
      <c r="N77" s="541">
        <v>1</v>
      </c>
      <c r="O77" s="553">
        <f t="shared" si="7"/>
        <v>0.19253112159715813</v>
      </c>
      <c r="P77" s="554">
        <f t="shared" si="8"/>
      </c>
      <c r="Q77" s="553">
        <f t="shared" si="9"/>
      </c>
    </row>
    <row r="78" spans="1:17" ht="15">
      <c r="A78" s="541">
        <v>1</v>
      </c>
      <c r="B78" s="542" t="s">
        <v>352</v>
      </c>
      <c r="C78" s="543" t="s">
        <v>202</v>
      </c>
      <c r="D78" s="543">
        <v>1906</v>
      </c>
      <c r="E78" s="544" t="s">
        <v>329</v>
      </c>
      <c r="F78" s="543" t="s">
        <v>416</v>
      </c>
      <c r="G78" s="544" t="s">
        <v>199</v>
      </c>
      <c r="H78" s="545">
        <v>0.27780387332412426</v>
      </c>
      <c r="I78" s="546">
        <v>100</v>
      </c>
      <c r="J78" s="547">
        <f t="shared" si="6"/>
        <v>0.27780387332412426</v>
      </c>
      <c r="K78" s="481" t="s">
        <v>311</v>
      </c>
      <c r="L78" s="552" t="s">
        <v>557</v>
      </c>
      <c r="N78" s="541">
        <v>1</v>
      </c>
      <c r="O78" s="553">
        <f t="shared" si="7"/>
        <v>0.27780387332412426</v>
      </c>
      <c r="P78" s="554">
        <f t="shared" si="8"/>
      </c>
      <c r="Q78" s="553">
        <f t="shared" si="9"/>
      </c>
    </row>
    <row r="79" spans="1:24" s="563" customFormat="1" ht="15">
      <c r="A79" s="556">
        <v>1</v>
      </c>
      <c r="B79" s="557" t="s">
        <v>558</v>
      </c>
      <c r="C79" s="558" t="s">
        <v>559</v>
      </c>
      <c r="D79" s="558">
        <v>2017</v>
      </c>
      <c r="E79" s="551" t="s">
        <v>49</v>
      </c>
      <c r="F79" s="558"/>
      <c r="G79" s="544" t="s">
        <v>199</v>
      </c>
      <c r="H79" s="545">
        <v>4.23792</v>
      </c>
      <c r="I79" s="559">
        <v>100</v>
      </c>
      <c r="J79" s="560">
        <f t="shared" si="6"/>
        <v>4.23792</v>
      </c>
      <c r="K79" s="561" t="s">
        <v>311</v>
      </c>
      <c r="L79" s="562"/>
      <c r="N79" s="556">
        <v>1</v>
      </c>
      <c r="O79" s="564">
        <f t="shared" si="7"/>
        <v>4.23792</v>
      </c>
      <c r="P79" s="565">
        <f t="shared" si="8"/>
      </c>
      <c r="Q79" s="564">
        <f t="shared" si="9"/>
      </c>
      <c r="R79" s="526"/>
      <c r="S79" s="526"/>
      <c r="T79" s="526"/>
      <c r="U79" s="526"/>
      <c r="V79" s="526"/>
      <c r="W79" s="526"/>
      <c r="X79" s="526"/>
    </row>
    <row r="80" spans="1:17" ht="15">
      <c r="A80" s="566"/>
      <c r="B80" s="567"/>
      <c r="C80" s="568"/>
      <c r="D80" s="568"/>
      <c r="E80" s="569"/>
      <c r="F80" s="568"/>
      <c r="G80" s="568"/>
      <c r="H80" s="570"/>
      <c r="I80" s="571"/>
      <c r="J80" s="572"/>
      <c r="K80" s="489"/>
      <c r="N80" s="541"/>
      <c r="O80" s="548">
        <f t="shared" si="7"/>
      </c>
      <c r="P80" s="541"/>
      <c r="Q80" s="548">
        <f t="shared" si="9"/>
      </c>
    </row>
    <row r="81" spans="1:17" ht="15">
      <c r="A81" s="573">
        <f>+SUM(A8:A80)</f>
        <v>72</v>
      </c>
      <c r="B81" s="574" t="s">
        <v>42</v>
      </c>
      <c r="C81" s="575"/>
      <c r="D81" s="576"/>
      <c r="E81" s="575"/>
      <c r="F81" s="575"/>
      <c r="G81" s="575"/>
      <c r="H81" s="577">
        <f>SUM(H8:H80)</f>
        <v>999.2702057790844</v>
      </c>
      <c r="I81" s="576"/>
      <c r="J81" s="578">
        <f>SUM(J8:J80)</f>
        <v>999.2702057790844</v>
      </c>
      <c r="K81" s="489"/>
      <c r="N81" s="541"/>
      <c r="O81" s="548">
        <f t="shared" si="7"/>
      </c>
      <c r="P81" s="541"/>
      <c r="Q81" s="548">
        <f t="shared" si="9"/>
      </c>
    </row>
    <row r="82" spans="1:17" ht="15">
      <c r="A82" s="566"/>
      <c r="B82" s="566"/>
      <c r="C82" s="579"/>
      <c r="D82" s="531"/>
      <c r="E82" s="580"/>
      <c r="G82" s="579"/>
      <c r="H82" s="581"/>
      <c r="I82" s="582"/>
      <c r="J82" s="583"/>
      <c r="K82" s="475"/>
      <c r="L82" s="566"/>
      <c r="N82" s="541"/>
      <c r="O82" s="548">
        <f t="shared" si="7"/>
      </c>
      <c r="P82" s="541"/>
      <c r="Q82" s="548">
        <f t="shared" si="9"/>
      </c>
    </row>
    <row r="83" spans="1:20" ht="15">
      <c r="A83" s="541">
        <v>1</v>
      </c>
      <c r="B83" s="566" t="s">
        <v>205</v>
      </c>
      <c r="C83" s="543" t="s">
        <v>204</v>
      </c>
      <c r="D83" s="531"/>
      <c r="E83" s="584" t="s">
        <v>205</v>
      </c>
      <c r="F83" s="531"/>
      <c r="G83" s="544"/>
      <c r="H83" s="585">
        <v>626</v>
      </c>
      <c r="I83" s="586">
        <v>20</v>
      </c>
      <c r="J83" s="587">
        <f>+H83*I83%</f>
        <v>125.2</v>
      </c>
      <c r="K83" s="518" t="s">
        <v>353</v>
      </c>
      <c r="L83" s="588"/>
      <c r="N83" s="541"/>
      <c r="O83" s="548">
        <f t="shared" si="7"/>
      </c>
      <c r="P83" s="541">
        <f t="shared" si="8"/>
        <v>1</v>
      </c>
      <c r="Q83" s="548">
        <f t="shared" si="9"/>
        <v>125.2</v>
      </c>
      <c r="S83" s="589"/>
      <c r="T83" s="589"/>
    </row>
    <row r="84" spans="1:17" ht="15.75" thickBot="1">
      <c r="A84" s="566"/>
      <c r="B84" s="566"/>
      <c r="C84" s="568"/>
      <c r="D84" s="531"/>
      <c r="E84" s="590"/>
      <c r="F84" s="531"/>
      <c r="G84" s="569"/>
      <c r="H84" s="591"/>
      <c r="I84" s="592"/>
      <c r="J84" s="587"/>
      <c r="K84" s="520"/>
      <c r="N84" s="541"/>
      <c r="O84" s="548"/>
      <c r="P84" s="541"/>
      <c r="Q84" s="548"/>
    </row>
    <row r="85" spans="1:17" ht="22.5" thickBot="1" thickTop="1">
      <c r="A85" s="503">
        <f>+A81+A83</f>
        <v>73</v>
      </c>
      <c r="B85" s="593" t="s">
        <v>560</v>
      </c>
      <c r="C85" s="594"/>
      <c r="D85" s="595"/>
      <c r="E85" s="594"/>
      <c r="F85" s="594"/>
      <c r="G85" s="594"/>
      <c r="H85" s="596">
        <f>+H81+H83</f>
        <v>1625.2702057790843</v>
      </c>
      <c r="I85" s="595"/>
      <c r="J85" s="597">
        <f>+J81+J83</f>
        <v>1124.4702057790844</v>
      </c>
      <c r="K85" s="509"/>
      <c r="N85" s="598">
        <f>+SUM(N8:N83)</f>
        <v>34</v>
      </c>
      <c r="O85" s="599">
        <f>+SUM(O8:O83)</f>
        <v>57.145128928915774</v>
      </c>
      <c r="P85" s="598">
        <f>+SUM(P8:P83)</f>
        <v>39</v>
      </c>
      <c r="Q85" s="599">
        <f>+SUM(Q8:Q83)</f>
        <v>1067.325076850169</v>
      </c>
    </row>
    <row r="86" ht="15.75" thickTop="1">
      <c r="D86" s="531"/>
    </row>
    <row r="87" spans="4:11" ht="15">
      <c r="D87" s="531"/>
      <c r="K87" s="465"/>
    </row>
    <row r="88" ht="15.75" thickBot="1"/>
    <row r="89" spans="2:10" ht="15.75" thickBot="1">
      <c r="B89" s="799"/>
      <c r="C89" s="800" t="s">
        <v>551</v>
      </c>
      <c r="D89" s="800" t="s">
        <v>360</v>
      </c>
      <c r="E89" s="600"/>
      <c r="G89" s="600"/>
      <c r="H89" s="600"/>
      <c r="I89" s="600"/>
      <c r="J89" s="600"/>
    </row>
    <row r="90" spans="2:10" ht="15">
      <c r="B90" s="566" t="s">
        <v>562</v>
      </c>
      <c r="C90" s="601">
        <f>+O85</f>
        <v>57.145128928915774</v>
      </c>
      <c r="D90" s="602">
        <f>+N85</f>
        <v>34</v>
      </c>
      <c r="H90" s="603"/>
      <c r="J90" s="526"/>
    </row>
    <row r="91" spans="2:10" ht="15">
      <c r="B91" s="566" t="s">
        <v>564</v>
      </c>
      <c r="C91" s="604">
        <f>+Q85</f>
        <v>1067.325076850169</v>
      </c>
      <c r="D91" s="605">
        <f>+P85</f>
        <v>39</v>
      </c>
      <c r="H91" s="603"/>
      <c r="J91" s="526"/>
    </row>
    <row r="92" spans="2:10" ht="15.75" thickBot="1">
      <c r="B92" s="606" t="s">
        <v>563</v>
      </c>
      <c r="C92" s="607">
        <v>1124.0924609990786</v>
      </c>
      <c r="D92" s="608">
        <v>73</v>
      </c>
      <c r="H92" s="603"/>
      <c r="J92" s="526"/>
    </row>
  </sheetData>
  <sheetProtection/>
  <mergeCells count="2">
    <mergeCell ref="N6:O6"/>
    <mergeCell ref="P6:Q6"/>
  </mergeCell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2:I69"/>
  <sheetViews>
    <sheetView zoomScalePageLayoutView="0" workbookViewId="0" topLeftCell="A37">
      <selection activeCell="N58" sqref="N58"/>
    </sheetView>
  </sheetViews>
  <sheetFormatPr defaultColWidth="9.140625" defaultRowHeight="12.75"/>
  <cols>
    <col min="1" max="1" width="5.421875" style="531" customWidth="1"/>
    <col min="2" max="2" width="39.00390625" style="526" customWidth="1"/>
    <col min="3" max="3" width="21.57421875" style="526" customWidth="1"/>
    <col min="4" max="4" width="14.8515625" style="526" customWidth="1"/>
    <col min="5" max="5" width="26.140625" style="526" bestFit="1" customWidth="1"/>
    <col min="6" max="6" width="8.57421875" style="526" bestFit="1" customWidth="1"/>
    <col min="7" max="7" width="10.140625" style="526" customWidth="1"/>
    <col min="8" max="8" width="14.28125" style="528" bestFit="1" customWidth="1"/>
    <col min="9" max="9" width="21.00390625" style="609" bestFit="1" customWidth="1"/>
    <col min="10" max="16384" width="9.140625" style="526" customWidth="1"/>
  </cols>
  <sheetData>
    <row r="1" ht="15"/>
    <row r="2" spans="1:7" ht="15.75">
      <c r="A2" s="461" t="s">
        <v>565</v>
      </c>
      <c r="E2" s="528"/>
      <c r="F2" s="528"/>
      <c r="G2" s="528"/>
    </row>
    <row r="3" ht="15"/>
    <row r="4" spans="8:9" ht="15" customHeight="1" thickBot="1">
      <c r="H4" s="610"/>
      <c r="I4" s="611"/>
    </row>
    <row r="5" spans="1:9" ht="75.75" thickBot="1">
      <c r="A5" s="801" t="s">
        <v>360</v>
      </c>
      <c r="B5" s="802" t="s">
        <v>4</v>
      </c>
      <c r="C5" s="802" t="s">
        <v>418</v>
      </c>
      <c r="D5" s="802" t="s">
        <v>5</v>
      </c>
      <c r="E5" s="802" t="s">
        <v>45</v>
      </c>
      <c r="F5" s="791" t="s">
        <v>354</v>
      </c>
      <c r="G5" s="803" t="s">
        <v>309</v>
      </c>
      <c r="H5" s="791" t="s">
        <v>355</v>
      </c>
      <c r="I5" s="787" t="s">
        <v>304</v>
      </c>
    </row>
    <row r="6" spans="1:9" ht="15.75" thickBot="1">
      <c r="A6" s="541"/>
      <c r="B6" s="542"/>
      <c r="C6" s="544"/>
      <c r="D6" s="544"/>
      <c r="E6" s="544"/>
      <c r="F6" s="477"/>
      <c r="G6" s="477"/>
      <c r="H6" s="612"/>
      <c r="I6" s="613"/>
    </row>
    <row r="7" spans="1:9" ht="15.75" thickBot="1">
      <c r="A7" s="541"/>
      <c r="B7" s="614" t="s">
        <v>419</v>
      </c>
      <c r="C7" s="544"/>
      <c r="D7" s="544"/>
      <c r="E7" s="544"/>
      <c r="F7" s="477"/>
      <c r="G7" s="477"/>
      <c r="H7" s="612"/>
      <c r="I7" s="613"/>
    </row>
    <row r="8" spans="1:9" ht="15">
      <c r="A8" s="541"/>
      <c r="B8" s="542"/>
      <c r="C8" s="544"/>
      <c r="D8" s="544"/>
      <c r="E8" s="544"/>
      <c r="F8" s="477"/>
      <c r="G8" s="477"/>
      <c r="H8" s="612"/>
      <c r="I8" s="613"/>
    </row>
    <row r="9" spans="1:9" ht="15">
      <c r="A9" s="541">
        <v>1</v>
      </c>
      <c r="B9" s="615" t="s">
        <v>262</v>
      </c>
      <c r="C9" s="616" t="s">
        <v>420</v>
      </c>
      <c r="D9" s="617">
        <v>2005</v>
      </c>
      <c r="E9" s="616" t="s">
        <v>261</v>
      </c>
      <c r="F9" s="618">
        <v>70</v>
      </c>
      <c r="G9" s="619">
        <v>24.99</v>
      </c>
      <c r="H9" s="620">
        <v>70</v>
      </c>
      <c r="I9" s="621" t="s">
        <v>311</v>
      </c>
    </row>
    <row r="10" spans="1:9" ht="15">
      <c r="A10" s="541">
        <v>1</v>
      </c>
      <c r="B10" s="615" t="s">
        <v>263</v>
      </c>
      <c r="C10" s="616" t="s">
        <v>420</v>
      </c>
      <c r="D10" s="617">
        <v>2014</v>
      </c>
      <c r="E10" s="616" t="s">
        <v>261</v>
      </c>
      <c r="F10" s="618">
        <v>12</v>
      </c>
      <c r="G10" s="619">
        <v>24.99</v>
      </c>
      <c r="H10" s="620">
        <v>12</v>
      </c>
      <c r="I10" s="621" t="s">
        <v>311</v>
      </c>
    </row>
    <row r="11" spans="1:9" ht="15">
      <c r="A11" s="541">
        <v>1</v>
      </c>
      <c r="B11" s="615" t="s">
        <v>421</v>
      </c>
      <c r="C11" s="616" t="s">
        <v>422</v>
      </c>
      <c r="D11" s="617">
        <v>1996</v>
      </c>
      <c r="E11" s="616" t="s">
        <v>261</v>
      </c>
      <c r="F11" s="618">
        <v>2.6</v>
      </c>
      <c r="G11" s="619">
        <v>24.99</v>
      </c>
      <c r="H11" s="620">
        <v>2.6</v>
      </c>
      <c r="I11" s="621" t="s">
        <v>311</v>
      </c>
    </row>
    <row r="12" spans="1:9" ht="15">
      <c r="A12" s="541">
        <v>1</v>
      </c>
      <c r="B12" s="615" t="s">
        <v>67</v>
      </c>
      <c r="C12" s="616" t="s">
        <v>423</v>
      </c>
      <c r="D12" s="617">
        <v>2001</v>
      </c>
      <c r="E12" s="616" t="s">
        <v>261</v>
      </c>
      <c r="F12" s="618">
        <v>26.400000000000002</v>
      </c>
      <c r="G12" s="619">
        <v>24.99</v>
      </c>
      <c r="H12" s="620">
        <v>26.400000000000002</v>
      </c>
      <c r="I12" s="621" t="s">
        <v>311</v>
      </c>
    </row>
    <row r="13" spans="1:9" ht="15">
      <c r="A13" s="541">
        <v>1</v>
      </c>
      <c r="B13" s="615" t="s">
        <v>424</v>
      </c>
      <c r="C13" s="616" t="s">
        <v>423</v>
      </c>
      <c r="D13" s="617">
        <v>2004</v>
      </c>
      <c r="E13" s="616" t="s">
        <v>261</v>
      </c>
      <c r="F13" s="618">
        <v>15.84</v>
      </c>
      <c r="G13" s="619">
        <v>24.99</v>
      </c>
      <c r="H13" s="620">
        <v>15.84</v>
      </c>
      <c r="I13" s="621" t="s">
        <v>311</v>
      </c>
    </row>
    <row r="14" spans="1:9" ht="15">
      <c r="A14" s="541">
        <v>1</v>
      </c>
      <c r="B14" s="615" t="s">
        <v>15</v>
      </c>
      <c r="C14" s="616" t="s">
        <v>422</v>
      </c>
      <c r="D14" s="617">
        <v>1999</v>
      </c>
      <c r="E14" s="616" t="s">
        <v>261</v>
      </c>
      <c r="F14" s="618">
        <v>3.15</v>
      </c>
      <c r="G14" s="619">
        <v>24.99</v>
      </c>
      <c r="H14" s="620">
        <v>3.15</v>
      </c>
      <c r="I14" s="621" t="s">
        <v>311</v>
      </c>
    </row>
    <row r="15" spans="1:9" ht="15">
      <c r="A15" s="541">
        <v>1</v>
      </c>
      <c r="B15" s="615" t="s">
        <v>18</v>
      </c>
      <c r="C15" s="616" t="s">
        <v>422</v>
      </c>
      <c r="D15" s="617">
        <v>2001</v>
      </c>
      <c r="E15" s="616" t="s">
        <v>261</v>
      </c>
      <c r="F15" s="618">
        <v>4.2</v>
      </c>
      <c r="G15" s="619">
        <v>24.99</v>
      </c>
      <c r="H15" s="620">
        <v>4.2</v>
      </c>
      <c r="I15" s="621" t="s">
        <v>311</v>
      </c>
    </row>
    <row r="16" spans="1:9" ht="15">
      <c r="A16" s="541">
        <v>1</v>
      </c>
      <c r="B16" s="615" t="s">
        <v>425</v>
      </c>
      <c r="C16" s="616" t="s">
        <v>422</v>
      </c>
      <c r="D16" s="617">
        <v>2002</v>
      </c>
      <c r="E16" s="616" t="s">
        <v>261</v>
      </c>
      <c r="F16" s="618">
        <v>14.4</v>
      </c>
      <c r="G16" s="619">
        <v>24.99</v>
      </c>
      <c r="H16" s="620">
        <v>14.4</v>
      </c>
      <c r="I16" s="621" t="s">
        <v>311</v>
      </c>
    </row>
    <row r="17" spans="1:9" ht="15">
      <c r="A17" s="541">
        <v>1</v>
      </c>
      <c r="B17" s="615" t="s">
        <v>426</v>
      </c>
      <c r="C17" s="616" t="s">
        <v>422</v>
      </c>
      <c r="D17" s="617">
        <v>2005</v>
      </c>
      <c r="E17" s="616" t="s">
        <v>261</v>
      </c>
      <c r="F17" s="618">
        <v>12</v>
      </c>
      <c r="G17" s="619">
        <v>24.99</v>
      </c>
      <c r="H17" s="620">
        <v>12</v>
      </c>
      <c r="I17" s="621" t="s">
        <v>311</v>
      </c>
    </row>
    <row r="18" spans="1:9" ht="15">
      <c r="A18" s="541">
        <v>1</v>
      </c>
      <c r="B18" s="615" t="s">
        <v>294</v>
      </c>
      <c r="C18" s="616" t="s">
        <v>420</v>
      </c>
      <c r="D18" s="617">
        <v>2001</v>
      </c>
      <c r="E18" s="616" t="s">
        <v>261</v>
      </c>
      <c r="F18" s="618">
        <v>6.6</v>
      </c>
      <c r="G18" s="619">
        <v>24.99</v>
      </c>
      <c r="H18" s="620">
        <v>6.6</v>
      </c>
      <c r="I18" s="621" t="s">
        <v>311</v>
      </c>
    </row>
    <row r="19" spans="1:9" ht="15">
      <c r="A19" s="541">
        <v>1</v>
      </c>
      <c r="B19" s="615" t="s">
        <v>17</v>
      </c>
      <c r="C19" s="616" t="s">
        <v>420</v>
      </c>
      <c r="D19" s="617">
        <v>2001</v>
      </c>
      <c r="E19" s="616" t="s">
        <v>261</v>
      </c>
      <c r="F19" s="618">
        <v>9.6</v>
      </c>
      <c r="G19" s="619">
        <v>24.99</v>
      </c>
      <c r="H19" s="620">
        <v>9.6</v>
      </c>
      <c r="I19" s="621" t="s">
        <v>311</v>
      </c>
    </row>
    <row r="20" spans="1:9" ht="15">
      <c r="A20" s="541">
        <v>1</v>
      </c>
      <c r="B20" s="615" t="s">
        <v>427</v>
      </c>
      <c r="C20" s="616" t="s">
        <v>420</v>
      </c>
      <c r="D20" s="617">
        <v>2011</v>
      </c>
      <c r="E20" s="616" t="s">
        <v>261</v>
      </c>
      <c r="F20" s="618">
        <v>17</v>
      </c>
      <c r="G20" s="619">
        <v>24.99</v>
      </c>
      <c r="H20" s="620">
        <v>17</v>
      </c>
      <c r="I20" s="621" t="s">
        <v>311</v>
      </c>
    </row>
    <row r="21" spans="1:9" ht="15">
      <c r="A21" s="541">
        <v>1</v>
      </c>
      <c r="B21" s="615" t="s">
        <v>428</v>
      </c>
      <c r="C21" s="616" t="s">
        <v>423</v>
      </c>
      <c r="D21" s="617">
        <v>2002</v>
      </c>
      <c r="E21" s="616" t="s">
        <v>261</v>
      </c>
      <c r="F21" s="618">
        <v>9</v>
      </c>
      <c r="G21" s="619">
        <v>24.99</v>
      </c>
      <c r="H21" s="620">
        <v>9</v>
      </c>
      <c r="I21" s="621" t="s">
        <v>311</v>
      </c>
    </row>
    <row r="22" spans="1:9" ht="15">
      <c r="A22" s="541">
        <v>1</v>
      </c>
      <c r="B22" s="615" t="s">
        <v>177</v>
      </c>
      <c r="C22" s="616" t="s">
        <v>429</v>
      </c>
      <c r="D22" s="617">
        <v>2008</v>
      </c>
      <c r="E22" s="616" t="s">
        <v>261</v>
      </c>
      <c r="F22" s="618">
        <v>34</v>
      </c>
      <c r="G22" s="619">
        <v>24.99</v>
      </c>
      <c r="H22" s="620">
        <v>34</v>
      </c>
      <c r="I22" s="621" t="s">
        <v>311</v>
      </c>
    </row>
    <row r="23" spans="1:9" ht="15">
      <c r="A23" s="541">
        <v>1</v>
      </c>
      <c r="B23" s="615" t="s">
        <v>430</v>
      </c>
      <c r="C23" s="616" t="s">
        <v>431</v>
      </c>
      <c r="D23" s="617">
        <v>2010</v>
      </c>
      <c r="E23" s="616" t="s">
        <v>261</v>
      </c>
      <c r="F23" s="618">
        <v>26</v>
      </c>
      <c r="G23" s="619">
        <v>24.99</v>
      </c>
      <c r="H23" s="620">
        <v>26</v>
      </c>
      <c r="I23" s="621" t="s">
        <v>311</v>
      </c>
    </row>
    <row r="24" spans="1:9" ht="15">
      <c r="A24" s="541">
        <v>1</v>
      </c>
      <c r="B24" s="615" t="s">
        <v>432</v>
      </c>
      <c r="C24" s="616" t="s">
        <v>431</v>
      </c>
      <c r="D24" s="617">
        <v>2009</v>
      </c>
      <c r="E24" s="616" t="s">
        <v>261</v>
      </c>
      <c r="F24" s="618">
        <v>50</v>
      </c>
      <c r="G24" s="619">
        <v>24.99</v>
      </c>
      <c r="H24" s="620">
        <v>50</v>
      </c>
      <c r="I24" s="621" t="s">
        <v>311</v>
      </c>
    </row>
    <row r="25" spans="1:9" ht="15">
      <c r="A25" s="541">
        <v>1</v>
      </c>
      <c r="B25" s="615" t="s">
        <v>224</v>
      </c>
      <c r="C25" s="616" t="s">
        <v>433</v>
      </c>
      <c r="D25" s="617">
        <v>2010</v>
      </c>
      <c r="E25" s="616" t="s">
        <v>261</v>
      </c>
      <c r="F25" s="618">
        <v>30</v>
      </c>
      <c r="G25" s="619">
        <v>24.99</v>
      </c>
      <c r="H25" s="620">
        <v>30</v>
      </c>
      <c r="I25" s="621" t="s">
        <v>311</v>
      </c>
    </row>
    <row r="26" spans="1:9" ht="15">
      <c r="A26" s="541">
        <v>1</v>
      </c>
      <c r="B26" s="615" t="s">
        <v>434</v>
      </c>
      <c r="C26" s="616" t="s">
        <v>423</v>
      </c>
      <c r="D26" s="617">
        <v>2001</v>
      </c>
      <c r="E26" s="616" t="s">
        <v>261</v>
      </c>
      <c r="F26" s="618">
        <v>9.6</v>
      </c>
      <c r="G26" s="619">
        <v>24.99</v>
      </c>
      <c r="H26" s="620">
        <v>9.6</v>
      </c>
      <c r="I26" s="621" t="s">
        <v>311</v>
      </c>
    </row>
    <row r="27" spans="1:9" ht="15">
      <c r="A27" s="541">
        <v>1</v>
      </c>
      <c r="B27" s="615" t="s">
        <v>435</v>
      </c>
      <c r="C27" s="616" t="s">
        <v>423</v>
      </c>
      <c r="D27" s="617">
        <v>2002</v>
      </c>
      <c r="E27" s="616" t="s">
        <v>261</v>
      </c>
      <c r="F27" s="618">
        <v>24.599999999999994</v>
      </c>
      <c r="G27" s="619">
        <v>24.99</v>
      </c>
      <c r="H27" s="620">
        <v>24.599999999999994</v>
      </c>
      <c r="I27" s="621" t="s">
        <v>311</v>
      </c>
    </row>
    <row r="28" spans="1:9" ht="15">
      <c r="A28" s="541">
        <v>1</v>
      </c>
      <c r="B28" s="615" t="s">
        <v>436</v>
      </c>
      <c r="C28" s="616" t="s">
        <v>437</v>
      </c>
      <c r="D28" s="617">
        <v>2001</v>
      </c>
      <c r="E28" s="616" t="s">
        <v>261</v>
      </c>
      <c r="F28" s="622">
        <v>1.8</v>
      </c>
      <c r="G28" s="619">
        <v>24.99</v>
      </c>
      <c r="H28" s="620">
        <v>1.8</v>
      </c>
      <c r="I28" s="621" t="s">
        <v>311</v>
      </c>
    </row>
    <row r="29" spans="1:9" ht="15">
      <c r="A29" s="541">
        <v>1</v>
      </c>
      <c r="B29" s="615" t="s">
        <v>438</v>
      </c>
      <c r="C29" s="616" t="s">
        <v>422</v>
      </c>
      <c r="D29" s="617">
        <v>2001</v>
      </c>
      <c r="E29" s="616" t="s">
        <v>261</v>
      </c>
      <c r="F29" s="622">
        <v>18</v>
      </c>
      <c r="G29" s="623">
        <v>24.99</v>
      </c>
      <c r="H29" s="624">
        <v>18</v>
      </c>
      <c r="I29" s="621" t="s">
        <v>311</v>
      </c>
    </row>
    <row r="30" spans="1:9" ht="15">
      <c r="A30" s="541">
        <v>1</v>
      </c>
      <c r="B30" s="615" t="s">
        <v>439</v>
      </c>
      <c r="C30" s="616" t="s">
        <v>422</v>
      </c>
      <c r="D30" s="617">
        <v>2012</v>
      </c>
      <c r="E30" s="616" t="s">
        <v>261</v>
      </c>
      <c r="F30" s="622">
        <v>38</v>
      </c>
      <c r="G30" s="623">
        <v>24.99</v>
      </c>
      <c r="H30" s="624">
        <v>38</v>
      </c>
      <c r="I30" s="621" t="s">
        <v>311</v>
      </c>
    </row>
    <row r="31" spans="1:9" ht="15">
      <c r="A31" s="541">
        <v>1</v>
      </c>
      <c r="B31" s="615" t="s">
        <v>206</v>
      </c>
      <c r="C31" s="616" t="s">
        <v>429</v>
      </c>
      <c r="D31" s="617">
        <v>2005</v>
      </c>
      <c r="E31" s="616" t="s">
        <v>261</v>
      </c>
      <c r="F31" s="622">
        <v>15.84</v>
      </c>
      <c r="G31" s="623">
        <v>24.99</v>
      </c>
      <c r="H31" s="624">
        <v>15.84</v>
      </c>
      <c r="I31" s="621" t="s">
        <v>311</v>
      </c>
    </row>
    <row r="32" spans="1:9" ht="15">
      <c r="A32" s="541">
        <v>1</v>
      </c>
      <c r="B32" s="615" t="s">
        <v>271</v>
      </c>
      <c r="C32" s="616" t="s">
        <v>423</v>
      </c>
      <c r="D32" s="617">
        <v>2001</v>
      </c>
      <c r="E32" s="616" t="s">
        <v>261</v>
      </c>
      <c r="F32" s="622">
        <v>13.799999999999997</v>
      </c>
      <c r="G32" s="623">
        <v>24.99</v>
      </c>
      <c r="H32" s="624">
        <v>13.799999999999997</v>
      </c>
      <c r="I32" s="621" t="s">
        <v>311</v>
      </c>
    </row>
    <row r="33" spans="1:9" ht="15">
      <c r="A33" s="541">
        <v>1</v>
      </c>
      <c r="B33" s="615" t="s">
        <v>440</v>
      </c>
      <c r="C33" s="616" t="s">
        <v>422</v>
      </c>
      <c r="D33" s="617">
        <v>2000</v>
      </c>
      <c r="E33" s="616" t="s">
        <v>261</v>
      </c>
      <c r="F33" s="622">
        <v>5.25</v>
      </c>
      <c r="G33" s="623">
        <v>24.99</v>
      </c>
      <c r="H33" s="624">
        <v>5.25</v>
      </c>
      <c r="I33" s="621" t="s">
        <v>311</v>
      </c>
    </row>
    <row r="34" spans="1:9" ht="15">
      <c r="A34" s="541">
        <v>1</v>
      </c>
      <c r="B34" s="615" t="s">
        <v>441</v>
      </c>
      <c r="C34" s="616" t="s">
        <v>423</v>
      </c>
      <c r="D34" s="617">
        <v>2002</v>
      </c>
      <c r="E34" s="616" t="s">
        <v>261</v>
      </c>
      <c r="F34" s="622">
        <v>6</v>
      </c>
      <c r="G34" s="623">
        <v>24.99</v>
      </c>
      <c r="H34" s="624">
        <v>6</v>
      </c>
      <c r="I34" s="621" t="s">
        <v>311</v>
      </c>
    </row>
    <row r="35" spans="1:9" ht="15">
      <c r="A35" s="541">
        <v>1</v>
      </c>
      <c r="B35" s="615" t="s">
        <v>442</v>
      </c>
      <c r="C35" s="616" t="s">
        <v>443</v>
      </c>
      <c r="D35" s="617">
        <v>1998</v>
      </c>
      <c r="E35" s="616" t="s">
        <v>261</v>
      </c>
      <c r="F35" s="622">
        <v>3.4</v>
      </c>
      <c r="G35" s="623">
        <v>24.99</v>
      </c>
      <c r="H35" s="624">
        <v>3.4</v>
      </c>
      <c r="I35" s="621" t="s">
        <v>311</v>
      </c>
    </row>
    <row r="36" spans="1:9" ht="15">
      <c r="A36" s="541">
        <v>1</v>
      </c>
      <c r="B36" s="615" t="s">
        <v>444</v>
      </c>
      <c r="C36" s="616" t="s">
        <v>420</v>
      </c>
      <c r="D36" s="617">
        <v>2011</v>
      </c>
      <c r="E36" s="616" t="s">
        <v>261</v>
      </c>
      <c r="F36" s="622">
        <v>54</v>
      </c>
      <c r="G36" s="623">
        <v>24.99</v>
      </c>
      <c r="H36" s="624">
        <v>54</v>
      </c>
      <c r="I36" s="621" t="s">
        <v>311</v>
      </c>
    </row>
    <row r="37" spans="1:9" ht="15">
      <c r="A37" s="541">
        <v>1</v>
      </c>
      <c r="B37" s="615" t="s">
        <v>445</v>
      </c>
      <c r="C37" s="616" t="s">
        <v>423</v>
      </c>
      <c r="D37" s="617">
        <v>2001</v>
      </c>
      <c r="E37" s="616" t="s">
        <v>261</v>
      </c>
      <c r="F37" s="622">
        <v>9</v>
      </c>
      <c r="G37" s="623">
        <v>24.99</v>
      </c>
      <c r="H37" s="624">
        <v>9</v>
      </c>
      <c r="I37" s="621" t="s">
        <v>311</v>
      </c>
    </row>
    <row r="38" spans="1:9" ht="15">
      <c r="A38" s="541">
        <v>1</v>
      </c>
      <c r="B38" s="615" t="s">
        <v>207</v>
      </c>
      <c r="C38" s="616" t="s">
        <v>420</v>
      </c>
      <c r="D38" s="617">
        <v>2007</v>
      </c>
      <c r="E38" s="616" t="s">
        <v>261</v>
      </c>
      <c r="F38" s="622">
        <v>10.02</v>
      </c>
      <c r="G38" s="623">
        <v>24.99</v>
      </c>
      <c r="H38" s="624">
        <v>10.02</v>
      </c>
      <c r="I38" s="621" t="s">
        <v>311</v>
      </c>
    </row>
    <row r="39" spans="1:9" ht="15">
      <c r="A39" s="541">
        <v>1</v>
      </c>
      <c r="B39" s="615" t="s">
        <v>446</v>
      </c>
      <c r="C39" s="616" t="s">
        <v>447</v>
      </c>
      <c r="D39" s="617">
        <v>2003</v>
      </c>
      <c r="E39" s="616" t="s">
        <v>261</v>
      </c>
      <c r="F39" s="618">
        <v>12.3</v>
      </c>
      <c r="G39" s="619">
        <v>24.99</v>
      </c>
      <c r="H39" s="620">
        <v>12.3</v>
      </c>
      <c r="I39" s="621" t="s">
        <v>311</v>
      </c>
    </row>
    <row r="40" spans="1:9" ht="15">
      <c r="A40" s="541">
        <v>1</v>
      </c>
      <c r="B40" s="615" t="s">
        <v>448</v>
      </c>
      <c r="C40" s="616" t="s">
        <v>422</v>
      </c>
      <c r="D40" s="617">
        <v>2001</v>
      </c>
      <c r="E40" s="616" t="s">
        <v>261</v>
      </c>
      <c r="F40" s="618">
        <v>11.4</v>
      </c>
      <c r="G40" s="619">
        <v>24.99</v>
      </c>
      <c r="H40" s="620">
        <v>11.4</v>
      </c>
      <c r="I40" s="621" t="s">
        <v>311</v>
      </c>
    </row>
    <row r="41" spans="1:9" ht="15">
      <c r="A41" s="541">
        <v>1</v>
      </c>
      <c r="B41" s="615" t="s">
        <v>69</v>
      </c>
      <c r="C41" s="616" t="s">
        <v>422</v>
      </c>
      <c r="D41" s="617">
        <v>2004</v>
      </c>
      <c r="E41" s="616" t="s">
        <v>261</v>
      </c>
      <c r="F41" s="618">
        <v>13.08</v>
      </c>
      <c r="G41" s="619">
        <v>24.99</v>
      </c>
      <c r="H41" s="620">
        <v>13.08</v>
      </c>
      <c r="I41" s="621" t="s">
        <v>311</v>
      </c>
    </row>
    <row r="42" spans="1:9" ht="15">
      <c r="A42" s="541"/>
      <c r="B42" s="615"/>
      <c r="C42" s="616"/>
      <c r="D42" s="616"/>
      <c r="E42" s="616"/>
      <c r="F42" s="618"/>
      <c r="G42" s="619"/>
      <c r="H42" s="625"/>
      <c r="I42" s="621"/>
    </row>
    <row r="43" spans="1:9" ht="15.75" thickBot="1">
      <c r="A43" s="541"/>
      <c r="B43" s="626"/>
      <c r="C43" s="627"/>
      <c r="D43" s="627"/>
      <c r="E43" s="628"/>
      <c r="F43" s="629"/>
      <c r="G43" s="630"/>
      <c r="H43" s="631"/>
      <c r="I43" s="632"/>
    </row>
    <row r="44" spans="1:9" ht="22.5" thickBot="1" thickTop="1">
      <c r="A44" s="633">
        <v>33</v>
      </c>
      <c r="B44" s="634" t="s">
        <v>272</v>
      </c>
      <c r="C44" s="634"/>
      <c r="D44" s="634"/>
      <c r="E44" s="635"/>
      <c r="F44" s="636">
        <v>588.8799999999999</v>
      </c>
      <c r="G44" s="637"/>
      <c r="H44" s="638">
        <v>588.8799999999999</v>
      </c>
      <c r="I44" s="639"/>
    </row>
    <row r="45" spans="5:9" ht="16.5" thickBot="1" thickTop="1">
      <c r="E45" s="531"/>
      <c r="F45" s="640"/>
      <c r="G45" s="641"/>
      <c r="H45" s="642"/>
      <c r="I45" s="643"/>
    </row>
    <row r="46" spans="1:9" ht="15.75" thickBot="1">
      <c r="A46" s="539"/>
      <c r="B46" s="804" t="s">
        <v>273</v>
      </c>
      <c r="C46" s="644"/>
      <c r="D46" s="644"/>
      <c r="E46" s="535"/>
      <c r="F46" s="645"/>
      <c r="G46" s="646"/>
      <c r="H46" s="647"/>
      <c r="I46" s="648"/>
    </row>
    <row r="47" spans="1:9" ht="15">
      <c r="A47" s="541"/>
      <c r="B47" s="566"/>
      <c r="C47" s="544"/>
      <c r="D47" s="544"/>
      <c r="E47" s="543"/>
      <c r="F47" s="649"/>
      <c r="G47" s="650"/>
      <c r="H47" s="651"/>
      <c r="I47" s="652"/>
    </row>
    <row r="48" spans="1:9" ht="15">
      <c r="A48" s="541">
        <v>1</v>
      </c>
      <c r="B48" s="653" t="s">
        <v>16</v>
      </c>
      <c r="C48" s="616" t="s">
        <v>420</v>
      </c>
      <c r="D48" s="617">
        <v>2000</v>
      </c>
      <c r="E48" s="616" t="s">
        <v>66</v>
      </c>
      <c r="F48" s="618">
        <v>3</v>
      </c>
      <c r="G48" s="619">
        <v>50</v>
      </c>
      <c r="H48" s="651">
        <v>1.5</v>
      </c>
      <c r="I48" s="654" t="s">
        <v>353</v>
      </c>
    </row>
    <row r="49" spans="1:9" ht="15">
      <c r="A49" s="541">
        <v>1</v>
      </c>
      <c r="B49" s="655" t="s">
        <v>68</v>
      </c>
      <c r="C49" s="616" t="s">
        <v>420</v>
      </c>
      <c r="D49" s="617">
        <v>2003</v>
      </c>
      <c r="E49" s="616" t="s">
        <v>66</v>
      </c>
      <c r="F49" s="618">
        <v>1.8</v>
      </c>
      <c r="G49" s="619">
        <v>50</v>
      </c>
      <c r="H49" s="651">
        <v>0.9</v>
      </c>
      <c r="I49" s="654" t="s">
        <v>353</v>
      </c>
    </row>
    <row r="50" spans="1:9" ht="15.75" thickBot="1">
      <c r="A50" s="541"/>
      <c r="B50" s="655"/>
      <c r="C50" s="656"/>
      <c r="D50" s="656"/>
      <c r="E50" s="656"/>
      <c r="F50" s="657"/>
      <c r="G50" s="658"/>
      <c r="H50" s="651"/>
      <c r="I50" s="659"/>
    </row>
    <row r="51" spans="1:9" ht="22.5" thickBot="1" thickTop="1">
      <c r="A51" s="660">
        <v>35</v>
      </c>
      <c r="B51" s="661" t="s">
        <v>264</v>
      </c>
      <c r="C51" s="662"/>
      <c r="D51" s="662"/>
      <c r="E51" s="663"/>
      <c r="F51" s="664">
        <v>4.8</v>
      </c>
      <c r="G51" s="665"/>
      <c r="H51" s="666">
        <v>2.4</v>
      </c>
      <c r="I51" s="667"/>
    </row>
    <row r="52" spans="6:9" ht="15.75" thickTop="1">
      <c r="F52" s="668"/>
      <c r="G52" s="669"/>
      <c r="H52" s="670"/>
      <c r="I52" s="671"/>
    </row>
    <row r="53" spans="6:9" ht="15.75" thickBot="1">
      <c r="F53" s="668"/>
      <c r="G53" s="669"/>
      <c r="H53" s="670"/>
      <c r="I53" s="671"/>
    </row>
    <row r="54" spans="1:9" ht="15.75" thickBot="1">
      <c r="A54" s="539"/>
      <c r="B54" s="805" t="s">
        <v>356</v>
      </c>
      <c r="C54" s="672"/>
      <c r="D54" s="672"/>
      <c r="E54" s="534"/>
      <c r="F54" s="673"/>
      <c r="G54" s="674"/>
      <c r="H54" s="675"/>
      <c r="I54" s="676"/>
    </row>
    <row r="55" spans="1:9" ht="15">
      <c r="A55" s="541"/>
      <c r="B55" s="566"/>
      <c r="C55" s="544"/>
      <c r="D55" s="544"/>
      <c r="E55" s="544"/>
      <c r="F55" s="677"/>
      <c r="G55" s="678"/>
      <c r="H55" s="679"/>
      <c r="I55" s="680"/>
    </row>
    <row r="56" spans="1:9" ht="15">
      <c r="A56" s="541">
        <v>1</v>
      </c>
      <c r="B56" s="566" t="s">
        <v>208</v>
      </c>
      <c r="C56" s="616" t="s">
        <v>431</v>
      </c>
      <c r="D56" s="617">
        <v>2008</v>
      </c>
      <c r="E56" s="616" t="s">
        <v>49</v>
      </c>
      <c r="F56" s="681">
        <v>3.3</v>
      </c>
      <c r="G56" s="619">
        <v>100</v>
      </c>
      <c r="H56" s="682">
        <v>3.3</v>
      </c>
      <c r="I56" s="683" t="s">
        <v>311</v>
      </c>
    </row>
    <row r="57" spans="1:9" ht="15">
      <c r="A57" s="541">
        <v>1</v>
      </c>
      <c r="B57" s="566" t="s">
        <v>240</v>
      </c>
      <c r="C57" s="544" t="s">
        <v>449</v>
      </c>
      <c r="D57" s="543">
        <v>2011</v>
      </c>
      <c r="E57" s="616" t="s">
        <v>49</v>
      </c>
      <c r="F57" s="681">
        <v>1</v>
      </c>
      <c r="G57" s="619">
        <v>100</v>
      </c>
      <c r="H57" s="682">
        <v>1</v>
      </c>
      <c r="I57" s="683" t="s">
        <v>311</v>
      </c>
    </row>
    <row r="58" spans="1:9" ht="15">
      <c r="A58" s="541">
        <v>1</v>
      </c>
      <c r="B58" s="566" t="s">
        <v>241</v>
      </c>
      <c r="C58" s="544" t="s">
        <v>450</v>
      </c>
      <c r="D58" s="543">
        <v>2011</v>
      </c>
      <c r="E58" s="616" t="s">
        <v>261</v>
      </c>
      <c r="F58" s="681">
        <v>3</v>
      </c>
      <c r="G58" s="684">
        <v>24.99</v>
      </c>
      <c r="H58" s="682">
        <v>3</v>
      </c>
      <c r="I58" s="683" t="s">
        <v>311</v>
      </c>
    </row>
    <row r="59" spans="1:9" ht="15">
      <c r="A59" s="541">
        <v>1</v>
      </c>
      <c r="B59" s="566" t="s">
        <v>242</v>
      </c>
      <c r="C59" s="544" t="s">
        <v>450</v>
      </c>
      <c r="D59" s="543">
        <v>2011</v>
      </c>
      <c r="E59" s="616" t="s">
        <v>261</v>
      </c>
      <c r="F59" s="681">
        <v>1</v>
      </c>
      <c r="G59" s="684">
        <v>24.99</v>
      </c>
      <c r="H59" s="682">
        <v>1</v>
      </c>
      <c r="I59" s="683" t="s">
        <v>311</v>
      </c>
    </row>
    <row r="60" spans="1:9" ht="15">
      <c r="A60" s="541">
        <v>1</v>
      </c>
      <c r="B60" s="566" t="s">
        <v>243</v>
      </c>
      <c r="C60" s="616" t="s">
        <v>429</v>
      </c>
      <c r="D60" s="617">
        <v>2011</v>
      </c>
      <c r="E60" s="616" t="s">
        <v>261</v>
      </c>
      <c r="F60" s="681">
        <v>1</v>
      </c>
      <c r="G60" s="684">
        <v>24.99</v>
      </c>
      <c r="H60" s="682">
        <v>1</v>
      </c>
      <c r="I60" s="683" t="s">
        <v>311</v>
      </c>
    </row>
    <row r="61" spans="1:9" ht="15">
      <c r="A61" s="541"/>
      <c r="B61" s="566"/>
      <c r="C61" s="616"/>
      <c r="D61" s="617"/>
      <c r="E61" s="616"/>
      <c r="F61" s="681"/>
      <c r="G61" s="684"/>
      <c r="H61" s="679"/>
      <c r="I61" s="683"/>
    </row>
    <row r="62" spans="1:9" ht="15">
      <c r="A62" s="541">
        <v>1</v>
      </c>
      <c r="B62" s="566" t="s">
        <v>183</v>
      </c>
      <c r="C62" s="544" t="s">
        <v>451</v>
      </c>
      <c r="D62" s="543">
        <v>2011</v>
      </c>
      <c r="E62" s="616" t="s">
        <v>203</v>
      </c>
      <c r="F62" s="681">
        <v>6</v>
      </c>
      <c r="G62" s="684">
        <v>86.12</v>
      </c>
      <c r="H62" s="679">
        <v>6</v>
      </c>
      <c r="I62" s="683" t="s">
        <v>311</v>
      </c>
    </row>
    <row r="63" spans="1:9" ht="15.75" thickBot="1">
      <c r="A63" s="541"/>
      <c r="B63" s="566"/>
      <c r="C63" s="569"/>
      <c r="D63" s="569"/>
      <c r="E63" s="656"/>
      <c r="F63" s="685"/>
      <c r="G63" s="686"/>
      <c r="H63" s="679"/>
      <c r="I63" s="687"/>
    </row>
    <row r="64" spans="1:9" ht="22.5" thickBot="1" thickTop="1">
      <c r="A64" s="660">
        <v>6</v>
      </c>
      <c r="B64" s="688" t="s">
        <v>357</v>
      </c>
      <c r="C64" s="689"/>
      <c r="D64" s="689"/>
      <c r="E64" s="689"/>
      <c r="F64" s="690">
        <v>15.3</v>
      </c>
      <c r="G64" s="689"/>
      <c r="H64" s="691">
        <v>15.3</v>
      </c>
      <c r="I64" s="692"/>
    </row>
    <row r="65" ht="16.5" thickBot="1" thickTop="1">
      <c r="F65" s="693"/>
    </row>
    <row r="66" spans="2:8" ht="15.75" thickBot="1">
      <c r="B66" s="694" t="s">
        <v>358</v>
      </c>
      <c r="C66" s="634"/>
      <c r="D66" s="634"/>
      <c r="E66" s="634"/>
      <c r="F66" s="695">
        <v>604.1799999999998</v>
      </c>
      <c r="G66" s="634"/>
      <c r="H66" s="696">
        <v>604.1799999999998</v>
      </c>
    </row>
    <row r="68" spans="2:4" ht="15">
      <c r="B68" s="697" t="s">
        <v>266</v>
      </c>
      <c r="C68" s="697"/>
      <c r="D68" s="697"/>
    </row>
    <row r="69" ht="15">
      <c r="B69" s="526" t="s">
        <v>267</v>
      </c>
    </row>
  </sheetData>
  <sheetProtection/>
  <printOptions/>
  <pageMargins left="0.7" right="0.7" top="0.75" bottom="0.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2:N80"/>
  <sheetViews>
    <sheetView zoomScalePageLayoutView="0" workbookViewId="0" topLeftCell="A58">
      <selection activeCell="B71" sqref="B70:H71"/>
    </sheetView>
  </sheetViews>
  <sheetFormatPr defaultColWidth="9.140625" defaultRowHeight="12.75"/>
  <cols>
    <col min="1" max="1" width="7.57421875" style="183" customWidth="1"/>
    <col min="2" max="2" width="23.140625" style="183" bestFit="1" customWidth="1"/>
    <col min="3" max="3" width="29.421875" style="183" bestFit="1" customWidth="1"/>
    <col min="4" max="4" width="10.7109375" style="183" bestFit="1" customWidth="1"/>
    <col min="5" max="5" width="26.140625" style="183" bestFit="1" customWidth="1"/>
    <col min="6" max="7" width="15.421875" style="183" customWidth="1"/>
    <col min="8" max="8" width="10.8515625" style="183" bestFit="1" customWidth="1"/>
    <col min="9" max="9" width="12.421875" style="183" customWidth="1"/>
    <col min="10" max="13" width="14.00390625" style="183" customWidth="1"/>
    <col min="14" max="16384" width="9.140625" style="183" customWidth="1"/>
  </cols>
  <sheetData>
    <row r="2" ht="15.75">
      <c r="A2" s="461" t="s">
        <v>566</v>
      </c>
    </row>
    <row r="3" spans="1:13" s="464" customFormat="1" ht="15">
      <c r="A3" s="465"/>
      <c r="J3" s="466"/>
      <c r="K3" s="465"/>
      <c r="L3" s="466"/>
      <c r="M3" s="466"/>
    </row>
    <row r="4" spans="1:13" s="464" customFormat="1" ht="15.75">
      <c r="A4" s="698" t="s">
        <v>567</v>
      </c>
      <c r="J4" s="466"/>
      <c r="K4" s="465"/>
      <c r="L4" s="466"/>
      <c r="M4" s="466"/>
    </row>
    <row r="5" spans="1:13" s="464" customFormat="1" ht="15">
      <c r="A5" s="465"/>
      <c r="B5" s="699" t="s">
        <v>452</v>
      </c>
      <c r="J5" s="466"/>
      <c r="K5" s="465"/>
      <c r="L5" s="466"/>
      <c r="M5" s="466"/>
    </row>
    <row r="6" spans="1:13" s="464" customFormat="1" ht="15.75" thickBot="1">
      <c r="A6" s="465"/>
      <c r="J6" s="466"/>
      <c r="K6" s="465"/>
      <c r="L6" s="466"/>
      <c r="M6" s="466"/>
    </row>
    <row r="7" spans="1:14" s="467" customFormat="1" ht="79.5" customHeight="1">
      <c r="A7" s="700" t="s">
        <v>360</v>
      </c>
      <c r="B7" s="806" t="s">
        <v>4</v>
      </c>
      <c r="C7" s="788" t="s">
        <v>44</v>
      </c>
      <c r="D7" s="788" t="s">
        <v>5</v>
      </c>
      <c r="E7" s="788" t="s">
        <v>45</v>
      </c>
      <c r="F7" s="788" t="s">
        <v>20</v>
      </c>
      <c r="G7" s="788" t="s">
        <v>46</v>
      </c>
      <c r="H7" s="788" t="s">
        <v>47</v>
      </c>
      <c r="I7" s="788" t="s">
        <v>301</v>
      </c>
      <c r="J7" s="789" t="s">
        <v>302</v>
      </c>
      <c r="K7" s="790" t="s">
        <v>303</v>
      </c>
      <c r="L7" s="791" t="s">
        <v>304</v>
      </c>
      <c r="N7" s="465"/>
    </row>
    <row r="8" spans="1:12" s="526" customFormat="1" ht="15.75" thickBot="1">
      <c r="A8" s="531"/>
      <c r="B8" s="528"/>
      <c r="C8" s="609"/>
      <c r="D8" s="609"/>
      <c r="E8" s="528"/>
      <c r="F8" s="609"/>
      <c r="I8" s="609"/>
      <c r="J8" s="701"/>
      <c r="K8" s="611"/>
      <c r="L8" s="611"/>
    </row>
    <row r="9" spans="1:12" s="464" customFormat="1" ht="15">
      <c r="A9" s="465"/>
      <c r="B9" s="702"/>
      <c r="C9" s="703"/>
      <c r="D9" s="704"/>
      <c r="E9" s="703"/>
      <c r="F9" s="703"/>
      <c r="G9" s="703"/>
      <c r="H9" s="703"/>
      <c r="I9" s="704"/>
      <c r="J9" s="705"/>
      <c r="K9" s="473"/>
      <c r="L9" s="474"/>
    </row>
    <row r="10" spans="1:12" s="464" customFormat="1" ht="15">
      <c r="A10" s="465">
        <v>1</v>
      </c>
      <c r="B10" s="515" t="s">
        <v>453</v>
      </c>
      <c r="C10" s="465" t="s">
        <v>454</v>
      </c>
      <c r="D10" s="706">
        <v>41914</v>
      </c>
      <c r="E10" s="707" t="s">
        <v>265</v>
      </c>
      <c r="F10" s="465"/>
      <c r="G10" s="465" t="s">
        <v>568</v>
      </c>
      <c r="H10" s="465" t="s">
        <v>456</v>
      </c>
      <c r="I10" s="708">
        <v>2.004</v>
      </c>
      <c r="J10" s="709">
        <v>100</v>
      </c>
      <c r="K10" s="710">
        <f>+I10*J10/100</f>
        <v>2.004</v>
      </c>
      <c r="L10" s="481" t="s">
        <v>305</v>
      </c>
    </row>
    <row r="11" spans="1:12" s="464" customFormat="1" ht="15">
      <c r="A11" s="465">
        <v>1</v>
      </c>
      <c r="B11" s="515" t="s">
        <v>457</v>
      </c>
      <c r="C11" s="465" t="s">
        <v>458</v>
      </c>
      <c r="D11" s="706">
        <v>42704</v>
      </c>
      <c r="E11" s="707" t="s">
        <v>265</v>
      </c>
      <c r="F11" s="465"/>
      <c r="G11" s="465" t="s">
        <v>568</v>
      </c>
      <c r="H11" s="465" t="s">
        <v>456</v>
      </c>
      <c r="I11" s="708">
        <v>1.287</v>
      </c>
      <c r="J11" s="709">
        <v>100</v>
      </c>
      <c r="K11" s="710">
        <f aca="true" t="shared" si="0" ref="K11:K26">+I11*J11/100</f>
        <v>1.287</v>
      </c>
      <c r="L11" s="481" t="s">
        <v>305</v>
      </c>
    </row>
    <row r="12" spans="1:12" s="464" customFormat="1" ht="15">
      <c r="A12" s="465">
        <v>1</v>
      </c>
      <c r="B12" s="515" t="s">
        <v>459</v>
      </c>
      <c r="C12" s="465" t="s">
        <v>460</v>
      </c>
      <c r="D12" s="706">
        <v>42656</v>
      </c>
      <c r="E12" s="707" t="s">
        <v>265</v>
      </c>
      <c r="F12" s="465"/>
      <c r="G12" s="465" t="s">
        <v>568</v>
      </c>
      <c r="H12" s="465" t="s">
        <v>456</v>
      </c>
      <c r="I12" s="708">
        <v>4.404</v>
      </c>
      <c r="J12" s="709">
        <v>100</v>
      </c>
      <c r="K12" s="710">
        <f t="shared" si="0"/>
        <v>4.404</v>
      </c>
      <c r="L12" s="481" t="s">
        <v>305</v>
      </c>
    </row>
    <row r="13" spans="1:12" s="464" customFormat="1" ht="15">
      <c r="A13" s="465">
        <v>1</v>
      </c>
      <c r="B13" s="515" t="s">
        <v>461</v>
      </c>
      <c r="C13" s="465" t="s">
        <v>462</v>
      </c>
      <c r="D13" s="465"/>
      <c r="E13" s="707" t="s">
        <v>463</v>
      </c>
      <c r="F13" s="465" t="s">
        <v>455</v>
      </c>
      <c r="G13" s="465" t="s">
        <v>50</v>
      </c>
      <c r="H13" s="465" t="s">
        <v>464</v>
      </c>
      <c r="I13" s="711">
        <v>3.7</v>
      </c>
      <c r="J13" s="709">
        <v>100</v>
      </c>
      <c r="K13" s="480">
        <f t="shared" si="0"/>
        <v>3.7</v>
      </c>
      <c r="L13" s="481" t="s">
        <v>305</v>
      </c>
    </row>
    <row r="14" spans="1:12" s="464" customFormat="1" ht="15">
      <c r="A14" s="465">
        <v>1</v>
      </c>
      <c r="B14" s="515" t="s">
        <v>465</v>
      </c>
      <c r="C14" s="465" t="s">
        <v>466</v>
      </c>
      <c r="D14" s="465"/>
      <c r="E14" s="707" t="s">
        <v>463</v>
      </c>
      <c r="F14" s="465" t="s">
        <v>455</v>
      </c>
      <c r="G14" s="465" t="s">
        <v>50</v>
      </c>
      <c r="H14" s="465" t="s">
        <v>467</v>
      </c>
      <c r="I14" s="711">
        <v>33.5</v>
      </c>
      <c r="J14" s="709">
        <v>100</v>
      </c>
      <c r="K14" s="480">
        <f t="shared" si="0"/>
        <v>33.5</v>
      </c>
      <c r="L14" s="481" t="s">
        <v>305</v>
      </c>
    </row>
    <row r="15" spans="1:12" s="464" customFormat="1" ht="15">
      <c r="A15" s="465">
        <v>1</v>
      </c>
      <c r="B15" s="515" t="s">
        <v>468</v>
      </c>
      <c r="C15" s="465" t="s">
        <v>462</v>
      </c>
      <c r="D15" s="465"/>
      <c r="E15" s="707" t="s">
        <v>463</v>
      </c>
      <c r="F15" s="465" t="s">
        <v>455</v>
      </c>
      <c r="G15" s="465" t="s">
        <v>50</v>
      </c>
      <c r="H15" s="465" t="s">
        <v>464</v>
      </c>
      <c r="I15" s="711">
        <v>6</v>
      </c>
      <c r="J15" s="709">
        <v>100</v>
      </c>
      <c r="K15" s="480">
        <f t="shared" si="0"/>
        <v>6</v>
      </c>
      <c r="L15" s="481" t="s">
        <v>305</v>
      </c>
    </row>
    <row r="16" spans="1:12" s="464" customFormat="1" ht="15">
      <c r="A16" s="465">
        <v>1</v>
      </c>
      <c r="B16" s="515" t="s">
        <v>469</v>
      </c>
      <c r="C16" s="465" t="s">
        <v>462</v>
      </c>
      <c r="D16" s="465"/>
      <c r="E16" s="707" t="s">
        <v>463</v>
      </c>
      <c r="F16" s="465" t="s">
        <v>455</v>
      </c>
      <c r="G16" s="465" t="s">
        <v>50</v>
      </c>
      <c r="H16" s="465" t="s">
        <v>464</v>
      </c>
      <c r="I16" s="711">
        <v>13</v>
      </c>
      <c r="J16" s="709">
        <v>100</v>
      </c>
      <c r="K16" s="480">
        <f t="shared" si="0"/>
        <v>13</v>
      </c>
      <c r="L16" s="481" t="s">
        <v>305</v>
      </c>
    </row>
    <row r="17" spans="1:12" s="464" customFormat="1" ht="15">
      <c r="A17" s="465">
        <v>1</v>
      </c>
      <c r="B17" s="515" t="s">
        <v>470</v>
      </c>
      <c r="C17" s="465" t="s">
        <v>462</v>
      </c>
      <c r="D17" s="465"/>
      <c r="E17" s="707" t="s">
        <v>463</v>
      </c>
      <c r="F17" s="465" t="s">
        <v>455</v>
      </c>
      <c r="G17" s="465" t="s">
        <v>50</v>
      </c>
      <c r="H17" s="465" t="s">
        <v>464</v>
      </c>
      <c r="I17" s="711">
        <v>3</v>
      </c>
      <c r="J17" s="709">
        <v>100</v>
      </c>
      <c r="K17" s="480">
        <f t="shared" si="0"/>
        <v>3</v>
      </c>
      <c r="L17" s="481" t="s">
        <v>305</v>
      </c>
    </row>
    <row r="18" spans="1:12" s="464" customFormat="1" ht="15">
      <c r="A18" s="465">
        <v>1</v>
      </c>
      <c r="B18" s="515" t="s">
        <v>471</v>
      </c>
      <c r="C18" s="465" t="s">
        <v>466</v>
      </c>
      <c r="D18" s="465"/>
      <c r="E18" s="707" t="s">
        <v>463</v>
      </c>
      <c r="F18" s="465" t="s">
        <v>455</v>
      </c>
      <c r="G18" s="465" t="s">
        <v>50</v>
      </c>
      <c r="H18" s="465" t="s">
        <v>467</v>
      </c>
      <c r="I18" s="711">
        <v>5</v>
      </c>
      <c r="J18" s="709">
        <v>100</v>
      </c>
      <c r="K18" s="480">
        <f t="shared" si="0"/>
        <v>5</v>
      </c>
      <c r="L18" s="481" t="s">
        <v>305</v>
      </c>
    </row>
    <row r="19" spans="1:12" s="464" customFormat="1" ht="15">
      <c r="A19" s="465">
        <v>1</v>
      </c>
      <c r="B19" s="515" t="s">
        <v>472</v>
      </c>
      <c r="C19" s="465" t="s">
        <v>466</v>
      </c>
      <c r="D19" s="465"/>
      <c r="E19" s="707" t="s">
        <v>463</v>
      </c>
      <c r="F19" s="465" t="s">
        <v>455</v>
      </c>
      <c r="G19" s="465" t="s">
        <v>50</v>
      </c>
      <c r="H19" s="465" t="s">
        <v>467</v>
      </c>
      <c r="I19" s="711">
        <v>5.12</v>
      </c>
      <c r="J19" s="709">
        <v>100</v>
      </c>
      <c r="K19" s="480">
        <f t="shared" si="0"/>
        <v>5.12</v>
      </c>
      <c r="L19" s="481" t="s">
        <v>305</v>
      </c>
    </row>
    <row r="20" spans="1:12" s="464" customFormat="1" ht="15">
      <c r="A20" s="465">
        <v>1</v>
      </c>
      <c r="B20" s="515" t="s">
        <v>473</v>
      </c>
      <c r="C20" s="465" t="s">
        <v>466</v>
      </c>
      <c r="D20" s="465"/>
      <c r="E20" s="707" t="s">
        <v>463</v>
      </c>
      <c r="F20" s="465" t="s">
        <v>455</v>
      </c>
      <c r="G20" s="465" t="s">
        <v>50</v>
      </c>
      <c r="H20" s="465" t="s">
        <v>464</v>
      </c>
      <c r="I20" s="711">
        <v>1.7</v>
      </c>
      <c r="J20" s="709">
        <v>100</v>
      </c>
      <c r="K20" s="480">
        <f t="shared" si="0"/>
        <v>1.7</v>
      </c>
      <c r="L20" s="481" t="s">
        <v>305</v>
      </c>
    </row>
    <row r="21" spans="1:12" s="464" customFormat="1" ht="60">
      <c r="A21" s="465">
        <v>1</v>
      </c>
      <c r="B21" s="515" t="s">
        <v>474</v>
      </c>
      <c r="C21" s="465" t="s">
        <v>475</v>
      </c>
      <c r="D21" s="465"/>
      <c r="E21" s="707" t="s">
        <v>463</v>
      </c>
      <c r="F21" s="467" t="s">
        <v>476</v>
      </c>
      <c r="G21" s="465" t="s">
        <v>477</v>
      </c>
      <c r="H21" s="465" t="s">
        <v>478</v>
      </c>
      <c r="I21" s="711">
        <v>7</v>
      </c>
      <c r="J21" s="709">
        <v>100</v>
      </c>
      <c r="K21" s="480">
        <f t="shared" si="0"/>
        <v>7</v>
      </c>
      <c r="L21" s="481" t="s">
        <v>305</v>
      </c>
    </row>
    <row r="22" spans="1:12" s="464" customFormat="1" ht="15">
      <c r="A22" s="465">
        <v>1</v>
      </c>
      <c r="B22" s="515" t="s">
        <v>479</v>
      </c>
      <c r="C22" s="465" t="s">
        <v>462</v>
      </c>
      <c r="D22" s="465"/>
      <c r="E22" s="707" t="s">
        <v>463</v>
      </c>
      <c r="F22" s="465" t="s">
        <v>480</v>
      </c>
      <c r="G22" s="465" t="s">
        <v>50</v>
      </c>
      <c r="H22" s="465" t="s">
        <v>464</v>
      </c>
      <c r="I22" s="711">
        <v>59.86</v>
      </c>
      <c r="J22" s="709">
        <v>100</v>
      </c>
      <c r="K22" s="480">
        <f t="shared" si="0"/>
        <v>59.86</v>
      </c>
      <c r="L22" s="481" t="s">
        <v>305</v>
      </c>
    </row>
    <row r="23" spans="1:12" s="464" customFormat="1" ht="15">
      <c r="A23" s="465">
        <v>1</v>
      </c>
      <c r="B23" s="515" t="s">
        <v>481</v>
      </c>
      <c r="C23" s="465" t="s">
        <v>482</v>
      </c>
      <c r="D23" s="465"/>
      <c r="E23" s="707" t="s">
        <v>463</v>
      </c>
      <c r="F23" s="465" t="s">
        <v>480</v>
      </c>
      <c r="G23" s="465" t="s">
        <v>50</v>
      </c>
      <c r="H23" s="465" t="s">
        <v>464</v>
      </c>
      <c r="I23" s="711">
        <v>36</v>
      </c>
      <c r="J23" s="709">
        <v>100</v>
      </c>
      <c r="K23" s="480">
        <f t="shared" si="0"/>
        <v>36</v>
      </c>
      <c r="L23" s="481" t="s">
        <v>305</v>
      </c>
    </row>
    <row r="24" spans="1:12" s="464" customFormat="1" ht="15">
      <c r="A24" s="465">
        <v>1</v>
      </c>
      <c r="B24" s="515" t="s">
        <v>483</v>
      </c>
      <c r="C24" s="465" t="s">
        <v>466</v>
      </c>
      <c r="D24" s="465"/>
      <c r="E24" s="707" t="s">
        <v>463</v>
      </c>
      <c r="F24" s="465" t="s">
        <v>480</v>
      </c>
      <c r="G24" s="465" t="s">
        <v>50</v>
      </c>
      <c r="H24" s="465" t="s">
        <v>464</v>
      </c>
      <c r="I24" s="711">
        <v>30</v>
      </c>
      <c r="J24" s="709">
        <v>100</v>
      </c>
      <c r="K24" s="480">
        <f t="shared" si="0"/>
        <v>30</v>
      </c>
      <c r="L24" s="481" t="s">
        <v>305</v>
      </c>
    </row>
    <row r="25" spans="1:12" s="464" customFormat="1" ht="15">
      <c r="A25" s="465">
        <v>1</v>
      </c>
      <c r="B25" s="515" t="s">
        <v>484</v>
      </c>
      <c r="C25" s="465" t="s">
        <v>482</v>
      </c>
      <c r="D25" s="465"/>
      <c r="E25" s="707" t="s">
        <v>463</v>
      </c>
      <c r="F25" s="465" t="s">
        <v>480</v>
      </c>
      <c r="G25" s="465" t="s">
        <v>50</v>
      </c>
      <c r="H25" s="465" t="s">
        <v>464</v>
      </c>
      <c r="I25" s="711">
        <v>12.5</v>
      </c>
      <c r="J25" s="709">
        <v>100</v>
      </c>
      <c r="K25" s="480">
        <f t="shared" si="0"/>
        <v>12.5</v>
      </c>
      <c r="L25" s="481" t="s">
        <v>305</v>
      </c>
    </row>
    <row r="26" spans="1:12" s="464" customFormat="1" ht="15.75" thickBot="1">
      <c r="A26" s="465">
        <v>1</v>
      </c>
      <c r="B26" s="712" t="s">
        <v>485</v>
      </c>
      <c r="C26" s="713" t="s">
        <v>462</v>
      </c>
      <c r="D26" s="713"/>
      <c r="E26" s="714" t="s">
        <v>463</v>
      </c>
      <c r="F26" s="713" t="s">
        <v>480</v>
      </c>
      <c r="G26" s="713" t="s">
        <v>50</v>
      </c>
      <c r="H26" s="713" t="s">
        <v>464</v>
      </c>
      <c r="I26" s="715">
        <v>10</v>
      </c>
      <c r="J26" s="716">
        <v>100</v>
      </c>
      <c r="K26" s="717">
        <f t="shared" si="0"/>
        <v>10</v>
      </c>
      <c r="L26" s="481" t="s">
        <v>305</v>
      </c>
    </row>
    <row r="27" spans="1:12" s="464" customFormat="1" ht="21.75" thickBot="1">
      <c r="A27" s="718">
        <f>+SUM(A10:A26)</f>
        <v>17</v>
      </c>
      <c r="B27" s="719" t="s">
        <v>569</v>
      </c>
      <c r="C27" s="720"/>
      <c r="D27" s="720"/>
      <c r="E27" s="721"/>
      <c r="F27" s="720"/>
      <c r="G27" s="720"/>
      <c r="H27" s="720"/>
      <c r="I27" s="722">
        <f>+SUM(I10:I26)</f>
        <v>234.075</v>
      </c>
      <c r="J27" s="723"/>
      <c r="K27" s="724">
        <f>+SUM(K10:K26)</f>
        <v>234.075</v>
      </c>
      <c r="L27" s="509"/>
    </row>
    <row r="29" ht="13.5" thickBot="1"/>
    <row r="30" spans="1:12" ht="75">
      <c r="A30" s="609" t="s">
        <v>360</v>
      </c>
      <c r="B30" s="806" t="s">
        <v>4</v>
      </c>
      <c r="C30" s="788" t="s">
        <v>44</v>
      </c>
      <c r="D30" s="788" t="s">
        <v>5</v>
      </c>
      <c r="E30" s="788" t="s">
        <v>45</v>
      </c>
      <c r="F30" s="788" t="s">
        <v>20</v>
      </c>
      <c r="G30" s="788"/>
      <c r="H30" s="788" t="s">
        <v>21</v>
      </c>
      <c r="I30" s="788" t="s">
        <v>301</v>
      </c>
      <c r="J30" s="789" t="s">
        <v>309</v>
      </c>
      <c r="K30" s="790" t="s">
        <v>303</v>
      </c>
      <c r="L30" s="791" t="s">
        <v>304</v>
      </c>
    </row>
    <row r="31" spans="1:12" ht="15.75" thickBot="1">
      <c r="A31" s="531"/>
      <c r="B31" s="526"/>
      <c r="C31" s="526"/>
      <c r="D31" s="531"/>
      <c r="E31" s="526"/>
      <c r="F31" s="526"/>
      <c r="G31" s="526"/>
      <c r="H31" s="526"/>
      <c r="I31" s="531"/>
      <c r="J31" s="725"/>
      <c r="K31" s="671"/>
      <c r="L31" s="726"/>
    </row>
    <row r="32" spans="1:12" ht="22.5" thickBot="1" thickTop="1">
      <c r="A32" s="633">
        <v>1</v>
      </c>
      <c r="B32" s="330" t="s">
        <v>486</v>
      </c>
      <c r="C32" s="535" t="s">
        <v>487</v>
      </c>
      <c r="D32" s="535" t="s">
        <v>570</v>
      </c>
      <c r="E32" s="534" t="s">
        <v>463</v>
      </c>
      <c r="F32" s="727" t="s">
        <v>488</v>
      </c>
      <c r="G32" s="534"/>
      <c r="H32" s="534" t="s">
        <v>489</v>
      </c>
      <c r="I32" s="728">
        <v>1.5</v>
      </c>
      <c r="J32" s="729">
        <v>100</v>
      </c>
      <c r="K32" s="730">
        <f>+I32</f>
        <v>1.5</v>
      </c>
      <c r="L32" s="731" t="s">
        <v>311</v>
      </c>
    </row>
    <row r="33" spans="1:12" ht="15.75" thickTop="1">
      <c r="A33" s="531"/>
      <c r="B33" s="567"/>
      <c r="C33" s="568"/>
      <c r="D33" s="568"/>
      <c r="E33" s="569"/>
      <c r="F33" s="568"/>
      <c r="G33" s="568"/>
      <c r="H33" s="568"/>
      <c r="I33" s="570"/>
      <c r="J33" s="571"/>
      <c r="K33" s="572"/>
      <c r="L33" s="489"/>
    </row>
    <row r="34" spans="1:12" ht="15.75" thickBot="1">
      <c r="A34" s="531"/>
      <c r="B34" s="732" t="s">
        <v>42</v>
      </c>
      <c r="C34" s="733"/>
      <c r="D34" s="734"/>
      <c r="E34" s="733"/>
      <c r="F34" s="733"/>
      <c r="G34" s="735"/>
      <c r="H34" s="733"/>
      <c r="I34" s="736">
        <f>SUM(I32:I33)</f>
        <v>1.5</v>
      </c>
      <c r="J34" s="734"/>
      <c r="K34" s="737">
        <f>SUM(K32:K33)</f>
        <v>1.5</v>
      </c>
      <c r="L34" s="509"/>
    </row>
    <row r="35" ht="15">
      <c r="A35" s="531"/>
    </row>
    <row r="37" ht="15">
      <c r="B37" s="699" t="s">
        <v>490</v>
      </c>
    </row>
    <row r="38" ht="13.5" thickBot="1"/>
    <row r="39" spans="1:12" s="526" customFormat="1" ht="60.75" thickBot="1">
      <c r="A39" s="609" t="s">
        <v>360</v>
      </c>
      <c r="B39" s="807" t="s">
        <v>4</v>
      </c>
      <c r="C39" s="807" t="s">
        <v>44</v>
      </c>
      <c r="D39" s="807" t="s">
        <v>5</v>
      </c>
      <c r="E39" s="807" t="s">
        <v>45</v>
      </c>
      <c r="F39" s="807" t="s">
        <v>20</v>
      </c>
      <c r="G39" s="808" t="s">
        <v>46</v>
      </c>
      <c r="H39" s="808" t="s">
        <v>47</v>
      </c>
      <c r="I39" s="808" t="s">
        <v>354</v>
      </c>
      <c r="J39" s="809" t="s">
        <v>309</v>
      </c>
      <c r="K39" s="808" t="s">
        <v>355</v>
      </c>
      <c r="L39" s="795" t="s">
        <v>304</v>
      </c>
    </row>
    <row r="40" spans="1:12" s="526" customFormat="1" ht="15.75" thickBot="1">
      <c r="A40" s="531"/>
      <c r="B40" s="528"/>
      <c r="C40" s="609"/>
      <c r="D40" s="609"/>
      <c r="E40" s="528"/>
      <c r="F40" s="609"/>
      <c r="I40" s="609"/>
      <c r="J40" s="701"/>
      <c r="K40" s="611"/>
      <c r="L40" s="611"/>
    </row>
    <row r="41" spans="1:12" s="526" customFormat="1" ht="15.75" thickBot="1">
      <c r="A41" s="531"/>
      <c r="B41" s="614" t="s">
        <v>491</v>
      </c>
      <c r="C41" s="738"/>
      <c r="D41" s="739"/>
      <c r="E41" s="738"/>
      <c r="F41" s="738"/>
      <c r="G41" s="738"/>
      <c r="H41" s="738"/>
      <c r="I41" s="740"/>
      <c r="J41" s="741"/>
      <c r="K41" s="675"/>
      <c r="L41" s="676"/>
    </row>
    <row r="42" spans="1:12" s="526" customFormat="1" ht="15">
      <c r="A42" s="531"/>
      <c r="B42" s="566"/>
      <c r="D42" s="531"/>
      <c r="I42" s="742"/>
      <c r="J42" s="669"/>
      <c r="K42" s="679"/>
      <c r="L42" s="680"/>
    </row>
    <row r="43" spans="1:12" s="526" customFormat="1" ht="15">
      <c r="A43" s="531">
        <v>1</v>
      </c>
      <c r="B43" s="566" t="s">
        <v>244</v>
      </c>
      <c r="C43" s="526" t="s">
        <v>492</v>
      </c>
      <c r="D43" s="743">
        <v>40645</v>
      </c>
      <c r="E43" s="707" t="s">
        <v>265</v>
      </c>
      <c r="F43" s="744"/>
      <c r="I43" s="745">
        <v>0.8648</v>
      </c>
      <c r="J43" s="746">
        <v>100</v>
      </c>
      <c r="K43" s="747">
        <f>+I43*J43/100</f>
        <v>0.8648</v>
      </c>
      <c r="L43" s="683" t="s">
        <v>311</v>
      </c>
    </row>
    <row r="44" spans="1:12" s="526" customFormat="1" ht="15">
      <c r="A44" s="531">
        <v>1</v>
      </c>
      <c r="B44" s="566" t="s">
        <v>245</v>
      </c>
      <c r="C44" s="526" t="s">
        <v>493</v>
      </c>
      <c r="D44" s="743">
        <v>40663</v>
      </c>
      <c r="E44" s="707" t="s">
        <v>265</v>
      </c>
      <c r="F44" s="744"/>
      <c r="I44" s="745">
        <v>0.9688</v>
      </c>
      <c r="J44" s="746">
        <v>100</v>
      </c>
      <c r="K44" s="747">
        <f>+I44*J44/100</f>
        <v>0.9688</v>
      </c>
      <c r="L44" s="683" t="s">
        <v>311</v>
      </c>
    </row>
    <row r="45" spans="1:12" s="526" customFormat="1" ht="15">
      <c r="A45" s="531">
        <v>1</v>
      </c>
      <c r="B45" s="566" t="s">
        <v>246</v>
      </c>
      <c r="C45" s="526" t="s">
        <v>494</v>
      </c>
      <c r="D45" s="743">
        <v>40659</v>
      </c>
      <c r="E45" s="707" t="s">
        <v>265</v>
      </c>
      <c r="F45" s="744"/>
      <c r="I45" s="745">
        <v>1.35465</v>
      </c>
      <c r="J45" s="746">
        <v>100</v>
      </c>
      <c r="K45" s="747">
        <f>+I45*J45/100</f>
        <v>1.3546500000000001</v>
      </c>
      <c r="L45" s="683" t="s">
        <v>311</v>
      </c>
    </row>
    <row r="46" spans="1:12" s="526" customFormat="1" ht="15.75" thickBot="1">
      <c r="A46" s="531"/>
      <c r="B46" s="566"/>
      <c r="D46" s="531"/>
      <c r="E46" s="707"/>
      <c r="F46" s="744"/>
      <c r="I46" s="748"/>
      <c r="J46" s="749"/>
      <c r="K46" s="679"/>
      <c r="L46" s="687"/>
    </row>
    <row r="47" spans="1:12" s="526" customFormat="1" ht="21.75" thickBot="1">
      <c r="A47" s="718">
        <f>+SUM(A43:A45)</f>
        <v>3</v>
      </c>
      <c r="B47" s="688" t="s">
        <v>495</v>
      </c>
      <c r="C47" s="689"/>
      <c r="D47" s="750"/>
      <c r="E47" s="689"/>
      <c r="F47" s="689"/>
      <c r="G47" s="751"/>
      <c r="H47" s="751"/>
      <c r="I47" s="690">
        <f>SUM(I43:I45)</f>
        <v>3.18825</v>
      </c>
      <c r="J47" s="689"/>
      <c r="K47" s="752">
        <f>SUM(K43:K45)</f>
        <v>3.18825</v>
      </c>
      <c r="L47" s="692"/>
    </row>
    <row r="50" ht="15.75">
      <c r="A50" s="698" t="s">
        <v>571</v>
      </c>
    </row>
    <row r="51" ht="13.5" thickBot="1"/>
    <row r="52" spans="2:12" ht="75.75" thickBot="1">
      <c r="B52" s="795" t="s">
        <v>572</v>
      </c>
      <c r="C52" s="796" t="s">
        <v>44</v>
      </c>
      <c r="D52" s="796" t="s">
        <v>5</v>
      </c>
      <c r="E52" s="796" t="s">
        <v>45</v>
      </c>
      <c r="F52" s="796" t="s">
        <v>20</v>
      </c>
      <c r="G52" s="796" t="s">
        <v>46</v>
      </c>
      <c r="H52" s="796" t="s">
        <v>47</v>
      </c>
      <c r="I52" s="796" t="s">
        <v>301</v>
      </c>
      <c r="J52" s="797" t="s">
        <v>302</v>
      </c>
      <c r="K52" s="798" t="s">
        <v>303</v>
      </c>
      <c r="L52" s="798" t="s">
        <v>304</v>
      </c>
    </row>
    <row r="53" spans="2:12" ht="15">
      <c r="B53" s="753"/>
      <c r="I53" s="745"/>
      <c r="J53" s="746"/>
      <c r="K53" s="679"/>
      <c r="L53" s="754"/>
    </row>
    <row r="54" spans="2:12" ht="15">
      <c r="B54" s="753">
        <v>1</v>
      </c>
      <c r="C54" s="183" t="s">
        <v>573</v>
      </c>
      <c r="E54" s="183" t="s">
        <v>463</v>
      </c>
      <c r="F54" s="183" t="s">
        <v>574</v>
      </c>
      <c r="G54" s="183" t="s">
        <v>117</v>
      </c>
      <c r="H54" s="183" t="s">
        <v>464</v>
      </c>
      <c r="I54" s="745">
        <v>12</v>
      </c>
      <c r="J54" s="746">
        <v>100</v>
      </c>
      <c r="K54" s="755">
        <f>+I54*J54/100</f>
        <v>12</v>
      </c>
      <c r="L54" s="683" t="s">
        <v>311</v>
      </c>
    </row>
    <row r="55" spans="2:12" ht="12.75">
      <c r="B55" s="753"/>
      <c r="K55" s="756"/>
      <c r="L55" s="757"/>
    </row>
    <row r="56" spans="2:12" ht="15">
      <c r="B56" s="753">
        <v>5</v>
      </c>
      <c r="C56" s="183" t="s">
        <v>575</v>
      </c>
      <c r="E56" s="183" t="s">
        <v>463</v>
      </c>
      <c r="F56" s="183" t="s">
        <v>574</v>
      </c>
      <c r="G56" s="183" t="s">
        <v>576</v>
      </c>
      <c r="H56" s="183" t="s">
        <v>464</v>
      </c>
      <c r="I56" s="745">
        <v>23.78</v>
      </c>
      <c r="K56" s="755">
        <v>23.78</v>
      </c>
      <c r="L56" s="683" t="s">
        <v>311</v>
      </c>
    </row>
    <row r="57" spans="2:12" ht="15">
      <c r="B57" s="753">
        <v>1</v>
      </c>
      <c r="C57" s="183" t="s">
        <v>577</v>
      </c>
      <c r="E57" s="183" t="s">
        <v>463</v>
      </c>
      <c r="F57" s="183" t="s">
        <v>574</v>
      </c>
      <c r="G57" s="183" t="s">
        <v>578</v>
      </c>
      <c r="H57" s="183" t="s">
        <v>464</v>
      </c>
      <c r="I57" s="745">
        <v>3.4</v>
      </c>
      <c r="J57" s="746">
        <v>100</v>
      </c>
      <c r="K57" s="755">
        <f>+I57*J57/100</f>
        <v>3.4</v>
      </c>
      <c r="L57" s="683"/>
    </row>
    <row r="58" spans="2:12" ht="15">
      <c r="B58" s="753">
        <v>1</v>
      </c>
      <c r="C58" s="183" t="s">
        <v>579</v>
      </c>
      <c r="E58" s="183" t="s">
        <v>463</v>
      </c>
      <c r="F58" s="183" t="s">
        <v>574</v>
      </c>
      <c r="H58" s="183" t="s">
        <v>362</v>
      </c>
      <c r="I58" s="745">
        <v>0.1</v>
      </c>
      <c r="J58" s="746">
        <v>100</v>
      </c>
      <c r="K58" s="755">
        <f>+I58*J58/100</f>
        <v>0.1</v>
      </c>
      <c r="L58" s="683" t="s">
        <v>311</v>
      </c>
    </row>
    <row r="59" spans="2:12" ht="13.5" thickBot="1">
      <c r="B59" s="753"/>
      <c r="K59" s="756"/>
      <c r="L59" s="757"/>
    </row>
    <row r="60" spans="1:12" ht="21.75" thickBot="1">
      <c r="A60" s="718">
        <f>+SUM(B54:B58)</f>
        <v>8</v>
      </c>
      <c r="B60" s="688" t="s">
        <v>580</v>
      </c>
      <c r="C60" s="689"/>
      <c r="D60" s="750"/>
      <c r="E60" s="689"/>
      <c r="F60" s="689"/>
      <c r="G60" s="751"/>
      <c r="H60" s="751"/>
      <c r="I60" s="758">
        <f>+SUM(I53:I59)</f>
        <v>39.28</v>
      </c>
      <c r="J60" s="689"/>
      <c r="K60" s="691">
        <f>+SUM(K53:K59)</f>
        <v>39.28</v>
      </c>
      <c r="L60" s="692"/>
    </row>
    <row r="61" ht="12.75">
      <c r="B61" s="759"/>
    </row>
    <row r="63" ht="13.5" thickBot="1"/>
    <row r="64" spans="1:12" s="526" customFormat="1" ht="21.75" thickBot="1">
      <c r="A64" s="718">
        <f>+A27+A32+A47+A60</f>
        <v>29</v>
      </c>
      <c r="B64" s="694" t="s">
        <v>581</v>
      </c>
      <c r="C64" s="634"/>
      <c r="D64" s="760"/>
      <c r="E64" s="634"/>
      <c r="F64" s="634"/>
      <c r="G64" s="635"/>
      <c r="H64" s="635"/>
      <c r="I64" s="636">
        <f>+I27+I34+I47+I60</f>
        <v>278.04325</v>
      </c>
      <c r="J64" s="634"/>
      <c r="K64" s="761">
        <f>+K27+K34+K47+K60</f>
        <v>278.04325</v>
      </c>
      <c r="L64" s="762"/>
    </row>
    <row r="68" ht="15.75">
      <c r="A68" s="698" t="s">
        <v>582</v>
      </c>
    </row>
    <row r="69" ht="13.5" thickBot="1"/>
    <row r="70" spans="2:8" ht="15">
      <c r="B70" s="810" t="s">
        <v>47</v>
      </c>
      <c r="C70" s="831" t="s">
        <v>463</v>
      </c>
      <c r="D70" s="832"/>
      <c r="E70" s="831" t="s">
        <v>583</v>
      </c>
      <c r="F70" s="832"/>
      <c r="G70" s="831" t="s">
        <v>363</v>
      </c>
      <c r="H70" s="832"/>
    </row>
    <row r="71" spans="2:8" ht="15.75" thickBot="1">
      <c r="B71" s="811"/>
      <c r="C71" s="811" t="s">
        <v>551</v>
      </c>
      <c r="D71" s="812" t="s">
        <v>360</v>
      </c>
      <c r="E71" s="811" t="s">
        <v>551</v>
      </c>
      <c r="F71" s="812" t="s">
        <v>360</v>
      </c>
      <c r="G71" s="811" t="s">
        <v>551</v>
      </c>
      <c r="H71" s="812" t="s">
        <v>360</v>
      </c>
    </row>
    <row r="72" spans="2:8" ht="15">
      <c r="B72" s="763" t="s">
        <v>118</v>
      </c>
      <c r="C72" s="764">
        <f>+C73+C74</f>
        <v>253.56</v>
      </c>
      <c r="D72" s="765">
        <f>+D73+D74</f>
        <v>20</v>
      </c>
      <c r="E72" s="766">
        <f>+E73+E74</f>
        <v>7.695</v>
      </c>
      <c r="F72" s="765">
        <f>+F73+F74</f>
        <v>3</v>
      </c>
      <c r="G72" s="766">
        <f>+C72+E72</f>
        <v>261.255</v>
      </c>
      <c r="H72" s="765">
        <f>+D72+F72</f>
        <v>23</v>
      </c>
    </row>
    <row r="73" spans="2:8" ht="15">
      <c r="B73" s="767" t="s">
        <v>584</v>
      </c>
      <c r="C73" s="768">
        <f>+SUM(K13:K26)</f>
        <v>226.38</v>
      </c>
      <c r="D73" s="177">
        <f>+SUM(A13:A26)</f>
        <v>14</v>
      </c>
      <c r="E73" s="769">
        <f>+SUM(K10:K12)</f>
        <v>7.695</v>
      </c>
      <c r="F73" s="177">
        <f>+SUM(A10:A12)</f>
        <v>3</v>
      </c>
      <c r="G73" s="769">
        <f>+C73+E73</f>
        <v>234.075</v>
      </c>
      <c r="H73" s="770">
        <f>+F73+D73</f>
        <v>17</v>
      </c>
    </row>
    <row r="74" spans="2:8" ht="15">
      <c r="B74" s="771" t="s">
        <v>585</v>
      </c>
      <c r="C74" s="768">
        <f>+SUM(K56:K57)</f>
        <v>27.18</v>
      </c>
      <c r="D74" s="177">
        <f>+SUM(B56:B57)</f>
        <v>6</v>
      </c>
      <c r="E74" s="772"/>
      <c r="F74" s="756"/>
      <c r="G74" s="769">
        <f>+C74+E74</f>
        <v>27.18</v>
      </c>
      <c r="H74" s="770">
        <f>+F74+D74</f>
        <v>6</v>
      </c>
    </row>
    <row r="75" spans="2:8" ht="15">
      <c r="B75" s="773" t="s">
        <v>586</v>
      </c>
      <c r="C75" s="764">
        <f>+K54</f>
        <v>12</v>
      </c>
      <c r="D75" s="759">
        <f>+B54</f>
        <v>1</v>
      </c>
      <c r="E75" s="766">
        <v>0</v>
      </c>
      <c r="F75" s="765"/>
      <c r="G75" s="766">
        <f aca="true" t="shared" si="1" ref="G75:H77">+C75+E75</f>
        <v>12</v>
      </c>
      <c r="H75" s="765">
        <f t="shared" si="1"/>
        <v>1</v>
      </c>
    </row>
    <row r="76" spans="2:8" ht="15">
      <c r="B76" s="773" t="s">
        <v>587</v>
      </c>
      <c r="C76" s="764">
        <f>+K32</f>
        <v>1.5</v>
      </c>
      <c r="D76" s="765">
        <f>+A32</f>
        <v>1</v>
      </c>
      <c r="E76" s="766">
        <v>0</v>
      </c>
      <c r="F76" s="765"/>
      <c r="G76" s="766">
        <f t="shared" si="1"/>
        <v>1.5</v>
      </c>
      <c r="H76" s="765">
        <f t="shared" si="1"/>
        <v>1</v>
      </c>
    </row>
    <row r="77" spans="2:8" ht="15">
      <c r="B77" s="773" t="s">
        <v>362</v>
      </c>
      <c r="C77" s="764">
        <f>+C78+C79</f>
        <v>0.1</v>
      </c>
      <c r="D77" s="765">
        <f>+D79+D78</f>
        <v>1</v>
      </c>
      <c r="E77" s="766">
        <f>+E78+E79</f>
        <v>3.18825</v>
      </c>
      <c r="F77" s="765">
        <f>+F78+F79</f>
        <v>3</v>
      </c>
      <c r="G77" s="766">
        <f t="shared" si="1"/>
        <v>3.28825</v>
      </c>
      <c r="H77" s="765">
        <f t="shared" si="1"/>
        <v>4</v>
      </c>
    </row>
    <row r="78" spans="2:8" ht="15">
      <c r="B78" s="767" t="s">
        <v>584</v>
      </c>
      <c r="C78" s="768"/>
      <c r="D78" s="770"/>
      <c r="E78" s="769">
        <f>+SUM(K43:K45)</f>
        <v>3.18825</v>
      </c>
      <c r="F78" s="770">
        <f>+SUM(A43:A45)</f>
        <v>3</v>
      </c>
      <c r="G78" s="769">
        <f>+C78+E78</f>
        <v>3.18825</v>
      </c>
      <c r="H78" s="770">
        <f>+F78+D78</f>
        <v>3</v>
      </c>
    </row>
    <row r="79" spans="2:8" ht="15.75" thickBot="1">
      <c r="B79" s="771" t="s">
        <v>585</v>
      </c>
      <c r="C79" s="774">
        <f>+K58</f>
        <v>0.1</v>
      </c>
      <c r="D79" s="770">
        <f>+B58</f>
        <v>1</v>
      </c>
      <c r="E79" s="772"/>
      <c r="F79" s="756"/>
      <c r="G79" s="769">
        <f>+C79</f>
        <v>0.1</v>
      </c>
      <c r="H79" s="770">
        <v>1</v>
      </c>
    </row>
    <row r="80" spans="2:8" ht="15.75" thickBot="1">
      <c r="B80" s="775" t="s">
        <v>363</v>
      </c>
      <c r="C80" s="776">
        <f aca="true" t="shared" si="2" ref="C80:H80">+C72+C75+C76+C77</f>
        <v>267.16</v>
      </c>
      <c r="D80" s="777">
        <f t="shared" si="2"/>
        <v>23</v>
      </c>
      <c r="E80" s="776">
        <f t="shared" si="2"/>
        <v>10.88325</v>
      </c>
      <c r="F80" s="777">
        <f t="shared" si="2"/>
        <v>6</v>
      </c>
      <c r="G80" s="776">
        <f t="shared" si="2"/>
        <v>278.04325</v>
      </c>
      <c r="H80" s="777">
        <f t="shared" si="2"/>
        <v>29</v>
      </c>
    </row>
  </sheetData>
  <sheetProtection/>
  <mergeCells count="3">
    <mergeCell ref="C70:D70"/>
    <mergeCell ref="E70:F70"/>
    <mergeCell ref="G70:H7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EDISON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Minazzi Valeria</dc:creator>
  <cp:keywords/>
  <dc:description/>
  <cp:lastModifiedBy>De lorenzo, Domenico</cp:lastModifiedBy>
  <cp:lastPrinted>2017-04-05T07:59:15Z</cp:lastPrinted>
  <dcterms:created xsi:type="dcterms:W3CDTF">2004-07-07T10:48:07Z</dcterms:created>
  <dcterms:modified xsi:type="dcterms:W3CDTF">2017-11-06T13:26:07Z</dcterms:modified>
  <cp:category/>
  <cp:version/>
  <cp:contentType/>
  <cp:contentStatus/>
</cp:coreProperties>
</file>