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10" tabRatio="766" activeTab="9"/>
  </bookViews>
  <sheets>
    <sheet name="P&amp;L BS CF" sheetId="1" r:id="rId1"/>
    <sheet name=" Results by division" sheetId="2" r:id="rId2"/>
    <sheet name="Volumes " sheetId="3" r:id="rId3"/>
    <sheet name="Costs" sheetId="4" r:id="rId4"/>
    <sheet name="Quarterly Data" sheetId="5" r:id="rId5"/>
    <sheet name="Thermoelectric plants" sheetId="6" r:id="rId6"/>
    <sheet name="Hydroelectric plants" sheetId="7" r:id="rId7"/>
    <sheet name="Other renewable plants" sheetId="8" r:id="rId8"/>
    <sheet name="Energy efficiency in Italy" sheetId="9" r:id="rId9"/>
    <sheet name="Plants summary" sheetId="10" r:id="rId10"/>
  </sheets>
  <definedNames>
    <definedName name="_xlnm.Print_Area" localSheetId="1">' Results by division'!$B$1:$K$61</definedName>
    <definedName name="_xlnm.Print_Area" localSheetId="3">'Costs'!$B$2:$K$39</definedName>
    <definedName name="_xlnm.Print_Area" localSheetId="0">'P&amp;L BS CF'!$A$1:$AB$100</definedName>
    <definedName name="_xlnm.Print_Area" localSheetId="4">'Quarterly Data'!$A$1:$AQ$137</definedName>
    <definedName name="_xlnm.Print_Area" localSheetId="2">'Volumes '!$B$2:$L$69</definedName>
    <definedName name="_xlnm.Print_Titles" localSheetId="4">'Quarterly Data'!$B:$B</definedName>
  </definedNames>
  <calcPr fullCalcOnLoad="1"/>
</workbook>
</file>

<file path=xl/comments6.xml><?xml version="1.0" encoding="utf-8"?>
<comments xmlns="http://schemas.openxmlformats.org/spreadsheetml/2006/main">
  <authors>
    <author>Minazzi Valeria</author>
  </authors>
  <commentList>
    <comment ref="D21" authorId="0">
      <text>
        <r>
          <rPr>
            <b/>
            <sz val="8"/>
            <color indexed="8"/>
            <rFont val="Tahoma"/>
            <family val="2"/>
          </rPr>
          <t>Minazzi Valeria:</t>
        </r>
        <r>
          <rPr>
            <sz val="8"/>
            <color indexed="8"/>
            <rFont val="Tahoma"/>
            <family val="2"/>
          </rPr>
          <t xml:space="preserve">
February 2006</t>
        </r>
      </text>
    </comment>
    <comment ref="D22" authorId="0">
      <text>
        <r>
          <rPr>
            <b/>
            <sz val="8"/>
            <color indexed="8"/>
            <rFont val="Tahoma"/>
            <family val="2"/>
          </rPr>
          <t>Minazzi Valeria:</t>
        </r>
        <r>
          <rPr>
            <sz val="8"/>
            <color indexed="8"/>
            <rFont val="Tahoma"/>
            <family val="2"/>
          </rPr>
          <t xml:space="preserve">
June 2006</t>
        </r>
      </text>
    </comment>
  </commentList>
</comments>
</file>

<file path=xl/comments7.xml><?xml version="1.0" encoding="utf-8"?>
<comments xmlns="http://schemas.openxmlformats.org/spreadsheetml/2006/main">
  <authors>
    <author>user</author>
    <author>Musolino Paolo</author>
  </authors>
  <commentList>
    <comment ref="F28" authorId="0">
      <text>
        <r>
          <rPr>
            <b/>
            <sz val="10"/>
            <color indexed="8"/>
            <rFont val="Tahoma"/>
            <family val="2"/>
          </rPr>
          <t>user:</t>
        </r>
        <r>
          <rPr>
            <sz val="10"/>
            <color indexed="8"/>
            <rFont val="Tahoma"/>
            <family val="2"/>
          </rPr>
          <t xml:space="preserve">
CIP6 fino a 2004</t>
        </r>
      </text>
    </comment>
    <comment ref="F29" authorId="0">
      <text>
        <r>
          <rPr>
            <b/>
            <sz val="10"/>
            <color indexed="8"/>
            <rFont val="Tahoma"/>
            <family val="2"/>
          </rPr>
          <t>user:</t>
        </r>
        <r>
          <rPr>
            <sz val="10"/>
            <color indexed="8"/>
            <rFont val="Tahoma"/>
            <family val="2"/>
          </rPr>
          <t xml:space="preserve">
cip6 fino a 2004</t>
        </r>
      </text>
    </comment>
    <comment ref="F33" authorId="0">
      <text>
        <r>
          <rPr>
            <b/>
            <sz val="10"/>
            <color indexed="8"/>
            <rFont val="Tahoma"/>
            <family val="2"/>
          </rPr>
          <t>user:</t>
        </r>
        <r>
          <rPr>
            <sz val="10"/>
            <color indexed="8"/>
            <rFont val="Tahoma"/>
            <family val="2"/>
          </rPr>
          <t xml:space="preserve">
CIP6 fino a 2007</t>
        </r>
      </text>
    </comment>
    <comment ref="F52" authorId="1">
      <text>
        <r>
          <rPr>
            <b/>
            <sz val="9"/>
            <color indexed="8"/>
            <rFont val="Tahoma"/>
            <family val="2"/>
          </rPr>
          <t xml:space="preserve">Ritiro dedicato
</t>
        </r>
        <r>
          <rPr>
            <sz val="9"/>
            <color indexed="8"/>
            <rFont val="Tahoma"/>
            <family val="2"/>
          </rPr>
          <t xml:space="preserve">
</t>
        </r>
      </text>
    </comment>
    <comment ref="F55" authorId="1">
      <text>
        <r>
          <rPr>
            <b/>
            <sz val="9"/>
            <color indexed="8"/>
            <rFont val="Tahoma"/>
            <family val="2"/>
          </rPr>
          <t xml:space="preserve">Ritiro dedicato
</t>
        </r>
        <r>
          <rPr>
            <sz val="9"/>
            <color indexed="8"/>
            <rFont val="Tahoma"/>
            <family val="2"/>
          </rPr>
          <t xml:space="preserve">
</t>
        </r>
      </text>
    </comment>
    <comment ref="F62" authorId="1">
      <text>
        <r>
          <rPr>
            <b/>
            <sz val="9"/>
            <color indexed="8"/>
            <rFont val="Tahoma"/>
            <family val="2"/>
          </rPr>
          <t xml:space="preserve">Ritiro dedicato
</t>
        </r>
        <r>
          <rPr>
            <sz val="9"/>
            <color indexed="8"/>
            <rFont val="Tahoma"/>
            <family val="2"/>
          </rPr>
          <t xml:space="preserve">
</t>
        </r>
      </text>
    </comment>
    <comment ref="F63" authorId="1">
      <text>
        <r>
          <rPr>
            <b/>
            <sz val="9"/>
            <color indexed="8"/>
            <rFont val="Tahoma"/>
            <family val="2"/>
          </rPr>
          <t>Incentivo da GSE</t>
        </r>
        <r>
          <rPr>
            <sz val="9"/>
            <color indexed="8"/>
            <rFont val="Tahoma"/>
            <family val="2"/>
          </rPr>
          <t xml:space="preserve">
</t>
        </r>
      </text>
    </comment>
    <comment ref="F64" authorId="1">
      <text>
        <r>
          <rPr>
            <b/>
            <sz val="9"/>
            <color indexed="8"/>
            <rFont val="Tahoma"/>
            <family val="2"/>
          </rPr>
          <t>Incentivo da GSE</t>
        </r>
        <r>
          <rPr>
            <sz val="9"/>
            <color indexed="8"/>
            <rFont val="Tahoma"/>
            <family val="2"/>
          </rPr>
          <t xml:space="preserve">
</t>
        </r>
      </text>
    </comment>
    <comment ref="F65" authorId="1">
      <text>
        <r>
          <rPr>
            <b/>
            <sz val="9"/>
            <color indexed="8"/>
            <rFont val="Tahoma"/>
            <family val="2"/>
          </rPr>
          <t xml:space="preserve">Ritiro dedicato
</t>
        </r>
        <r>
          <rPr>
            <sz val="9"/>
            <color indexed="8"/>
            <rFont val="Tahoma"/>
            <family val="2"/>
          </rPr>
          <t xml:space="preserve">
</t>
        </r>
      </text>
    </comment>
    <comment ref="F66" authorId="1">
      <text>
        <r>
          <rPr>
            <b/>
            <sz val="9"/>
            <color indexed="8"/>
            <rFont val="Tahoma"/>
            <family val="2"/>
          </rPr>
          <t xml:space="preserve">Ritiro dedicato
</t>
        </r>
        <r>
          <rPr>
            <sz val="9"/>
            <color indexed="8"/>
            <rFont val="Tahoma"/>
            <family val="2"/>
          </rPr>
          <t xml:space="preserve">
</t>
        </r>
      </text>
    </comment>
    <comment ref="F68" authorId="1">
      <text>
        <r>
          <rPr>
            <b/>
            <sz val="9"/>
            <color indexed="8"/>
            <rFont val="Tahoma"/>
            <family val="2"/>
          </rPr>
          <t xml:space="preserve">Ritiro dedicato
</t>
        </r>
        <r>
          <rPr>
            <sz val="9"/>
            <color indexed="8"/>
            <rFont val="Tahoma"/>
            <family val="2"/>
          </rPr>
          <t xml:space="preserve">
</t>
        </r>
      </text>
    </comment>
    <comment ref="F69" authorId="1">
      <text>
        <r>
          <rPr>
            <b/>
            <sz val="9"/>
            <color indexed="8"/>
            <rFont val="Tahoma"/>
            <family val="2"/>
          </rPr>
          <t xml:space="preserve">Ritiro dedicato
</t>
        </r>
        <r>
          <rPr>
            <sz val="9"/>
            <color indexed="8"/>
            <rFont val="Tahoma"/>
            <family val="2"/>
          </rPr>
          <t xml:space="preserve">
</t>
        </r>
      </text>
    </comment>
    <comment ref="F70" authorId="1">
      <text>
        <r>
          <rPr>
            <b/>
            <sz val="9"/>
            <color indexed="8"/>
            <rFont val="Tahoma"/>
            <family val="2"/>
          </rPr>
          <t xml:space="preserve">Ritiro dedicato
</t>
        </r>
        <r>
          <rPr>
            <sz val="9"/>
            <color indexed="8"/>
            <rFont val="Tahoma"/>
            <family val="2"/>
          </rPr>
          <t xml:space="preserve">
</t>
        </r>
      </text>
    </comment>
    <comment ref="F71" authorId="1">
      <text>
        <r>
          <rPr>
            <b/>
            <sz val="9"/>
            <color indexed="8"/>
            <rFont val="Tahoma"/>
            <family val="2"/>
          </rPr>
          <t xml:space="preserve">Ritiro dedicato
</t>
        </r>
        <r>
          <rPr>
            <sz val="9"/>
            <color indexed="8"/>
            <rFont val="Tahoma"/>
            <family val="2"/>
          </rPr>
          <t xml:space="preserve">
</t>
        </r>
      </text>
    </comment>
    <comment ref="F72" authorId="1">
      <text>
        <r>
          <rPr>
            <b/>
            <sz val="9"/>
            <color indexed="8"/>
            <rFont val="Tahoma"/>
            <family val="2"/>
          </rPr>
          <t xml:space="preserve">Ritiro dedicato
</t>
        </r>
        <r>
          <rPr>
            <sz val="9"/>
            <color indexed="8"/>
            <rFont val="Tahoma"/>
            <family val="2"/>
          </rPr>
          <t xml:space="preserve">
</t>
        </r>
      </text>
    </comment>
    <comment ref="F73" authorId="1">
      <text>
        <r>
          <rPr>
            <b/>
            <sz val="9"/>
            <color indexed="8"/>
            <rFont val="Tahoma"/>
            <family val="2"/>
          </rPr>
          <t xml:space="preserve">Ritiro dedicato
</t>
        </r>
        <r>
          <rPr>
            <sz val="9"/>
            <color indexed="8"/>
            <rFont val="Tahoma"/>
            <family val="2"/>
          </rPr>
          <t xml:space="preserve">
</t>
        </r>
      </text>
    </comment>
    <comment ref="F74" authorId="1">
      <text>
        <r>
          <rPr>
            <b/>
            <sz val="9"/>
            <color indexed="8"/>
            <rFont val="Tahoma"/>
            <family val="2"/>
          </rPr>
          <t xml:space="preserve">Ritiro dedicato
</t>
        </r>
        <r>
          <rPr>
            <sz val="9"/>
            <color indexed="8"/>
            <rFont val="Tahoma"/>
            <family val="2"/>
          </rPr>
          <t xml:space="preserve">
</t>
        </r>
      </text>
    </comment>
    <comment ref="F75" authorId="1">
      <text>
        <r>
          <rPr>
            <b/>
            <sz val="9"/>
            <color indexed="8"/>
            <rFont val="Tahoma"/>
            <family val="2"/>
          </rPr>
          <t xml:space="preserve">Ritiro dedicato
</t>
        </r>
        <r>
          <rPr>
            <sz val="9"/>
            <color indexed="8"/>
            <rFont val="Tahoma"/>
            <family val="2"/>
          </rPr>
          <t xml:space="preserve">
</t>
        </r>
      </text>
    </comment>
    <comment ref="F76" authorId="1">
      <text>
        <r>
          <rPr>
            <b/>
            <sz val="9"/>
            <color indexed="8"/>
            <rFont val="Tahoma"/>
            <family val="2"/>
          </rPr>
          <t>Incentivo da GSE</t>
        </r>
        <r>
          <rPr>
            <sz val="9"/>
            <color indexed="8"/>
            <rFont val="Tahoma"/>
            <family val="2"/>
          </rPr>
          <t xml:space="preserve">
</t>
        </r>
      </text>
    </comment>
    <comment ref="F79" authorId="1">
      <text>
        <r>
          <rPr>
            <b/>
            <sz val="9"/>
            <color indexed="8"/>
            <rFont val="Tahoma"/>
            <family val="2"/>
          </rPr>
          <t xml:space="preserve">Ritiro dedicato
</t>
        </r>
        <r>
          <rPr>
            <sz val="9"/>
            <color indexed="8"/>
            <rFont val="Tahoma"/>
            <family val="2"/>
          </rPr>
          <t xml:space="preserve">
</t>
        </r>
      </text>
    </comment>
    <comment ref="F77" authorId="1">
      <text>
        <r>
          <rPr>
            <b/>
            <sz val="9"/>
            <color indexed="8"/>
            <rFont val="Tahoma"/>
            <family val="2"/>
          </rPr>
          <t xml:space="preserve">Ritiro dedicato
</t>
        </r>
        <r>
          <rPr>
            <sz val="9"/>
            <color indexed="8"/>
            <rFont val="Tahoma"/>
            <family val="2"/>
          </rPr>
          <t xml:space="preserve">
</t>
        </r>
      </text>
    </comment>
    <comment ref="F78" authorId="1">
      <text>
        <r>
          <rPr>
            <b/>
            <sz val="9"/>
            <color indexed="8"/>
            <rFont val="Tahoma"/>
            <family val="2"/>
          </rPr>
          <t xml:space="preserve">Ritiro dedicato
</t>
        </r>
        <r>
          <rPr>
            <sz val="9"/>
            <color indexed="8"/>
            <rFont val="Tahoma"/>
            <family val="2"/>
          </rPr>
          <t xml:space="preserve">
</t>
        </r>
      </text>
    </comment>
  </commentList>
</comments>
</file>

<file path=xl/comments8.xml><?xml version="1.0" encoding="utf-8"?>
<comments xmlns="http://schemas.openxmlformats.org/spreadsheetml/2006/main">
  <authors>
    <author>Minazzi Valeria</author>
  </authors>
  <commentList>
    <comment ref="F35" authorId="0">
      <text>
        <r>
          <rPr>
            <b/>
            <sz val="9"/>
            <color indexed="8"/>
            <rFont val="Tahoma"/>
            <family val="2"/>
          </rPr>
          <t>Minazzi Valeria:</t>
        </r>
        <r>
          <rPr>
            <sz val="9"/>
            <color indexed="8"/>
            <rFont val="Tahoma"/>
            <family val="2"/>
          </rPr>
          <t xml:space="preserve">
vedi certificazione EMAS</t>
        </r>
      </text>
    </comment>
    <comment ref="D36" authorId="0">
      <text>
        <r>
          <rPr>
            <b/>
            <sz val="9"/>
            <color indexed="8"/>
            <rFont val="Tahoma"/>
            <family val="2"/>
          </rPr>
          <t>Minazzi Valeria:</t>
        </r>
        <r>
          <rPr>
            <sz val="9"/>
            <color indexed="8"/>
            <rFont val="Tahoma"/>
            <family val="2"/>
          </rPr>
          <t xml:space="preserve">
data ricostruzione, parco originario 1999
</t>
        </r>
      </text>
    </comment>
  </commentList>
</comments>
</file>

<file path=xl/sharedStrings.xml><?xml version="1.0" encoding="utf-8"?>
<sst xmlns="http://schemas.openxmlformats.org/spreadsheetml/2006/main" count="1661" uniqueCount="613">
  <si>
    <t>balance</t>
  </si>
  <si>
    <t>EBITDA</t>
  </si>
  <si>
    <t>Candela</t>
  </si>
  <si>
    <t>Porto Viro</t>
  </si>
  <si>
    <t>Plant name</t>
  </si>
  <si>
    <t>Start up</t>
  </si>
  <si>
    <t>Marghera Azotati</t>
  </si>
  <si>
    <t>Sesto san Giovanni</t>
  </si>
  <si>
    <t>Bussi sul Tirino</t>
  </si>
  <si>
    <t>San Quirico</t>
  </si>
  <si>
    <t>Cologno Monzese</t>
  </si>
  <si>
    <t>Jesi</t>
  </si>
  <si>
    <t>Battiggio</t>
  </si>
  <si>
    <t>Pieve Vergonte</t>
  </si>
  <si>
    <t>Pentima</t>
  </si>
  <si>
    <t>Celle San Vito 1</t>
  </si>
  <si>
    <t>Foiano - Piano del Casino</t>
  </si>
  <si>
    <t>Celle San Vito 2</t>
  </si>
  <si>
    <t>CASH FLOW</t>
  </si>
  <si>
    <t>Market</t>
  </si>
  <si>
    <t>Type</t>
  </si>
  <si>
    <t>Basin</t>
  </si>
  <si>
    <t>Run of river</t>
  </si>
  <si>
    <t>Caffaro 1</t>
  </si>
  <si>
    <t>free market</t>
  </si>
  <si>
    <t>Reservoir</t>
  </si>
  <si>
    <t>Venina</t>
  </si>
  <si>
    <t>Sonico</t>
  </si>
  <si>
    <t>Mezzocorona</t>
  </si>
  <si>
    <t>Armisa</t>
  </si>
  <si>
    <t>Zappello</t>
  </si>
  <si>
    <t>Vedello</t>
  </si>
  <si>
    <t>Teglia</t>
  </si>
  <si>
    <t>Campo</t>
  </si>
  <si>
    <t>Cividate</t>
  </si>
  <si>
    <t>Rocchetta</t>
  </si>
  <si>
    <t>Belviso</t>
  </si>
  <si>
    <t>Publino</t>
  </si>
  <si>
    <t>Ganda</t>
  </si>
  <si>
    <t>Caffaro 2</t>
  </si>
  <si>
    <t>Albano</t>
  </si>
  <si>
    <t>Total free market (MW)</t>
  </si>
  <si>
    <t>check</t>
  </si>
  <si>
    <t>Location</t>
  </si>
  <si>
    <t>Company</t>
  </si>
  <si>
    <t>Fuel</t>
  </si>
  <si>
    <t>Technology</t>
  </si>
  <si>
    <t>VE</t>
  </si>
  <si>
    <t>Edison Spa</t>
  </si>
  <si>
    <t>gas</t>
  </si>
  <si>
    <t>CCGT</t>
  </si>
  <si>
    <t>RO</t>
  </si>
  <si>
    <t>MI</t>
  </si>
  <si>
    <t>PE</t>
  </si>
  <si>
    <t>PR</t>
  </si>
  <si>
    <t>TR</t>
  </si>
  <si>
    <t>Termica Cologno Srl</t>
  </si>
  <si>
    <t>MS</t>
  </si>
  <si>
    <t>AN</t>
  </si>
  <si>
    <t>Jesi Energia Spa</t>
  </si>
  <si>
    <t>Sarmato</t>
  </si>
  <si>
    <t>PC</t>
  </si>
  <si>
    <t>Terni</t>
  </si>
  <si>
    <t>CN</t>
  </si>
  <si>
    <t>FG</t>
  </si>
  <si>
    <t>Castiglione Messer Marino</t>
  </si>
  <si>
    <t>Volturino</t>
  </si>
  <si>
    <t>Sales revenues Electric Power operations</t>
  </si>
  <si>
    <t>Sales revenues Hydrocarbons operations</t>
  </si>
  <si>
    <t>Corporate activities</t>
  </si>
  <si>
    <t>Eliminations</t>
  </si>
  <si>
    <t>Total sales revenues</t>
  </si>
  <si>
    <t>Other revenues and income</t>
  </si>
  <si>
    <t>Total net revenues</t>
  </si>
  <si>
    <t>Raw materials and services used</t>
  </si>
  <si>
    <t>Labor cost</t>
  </si>
  <si>
    <t>EBITDA Corporate activities</t>
  </si>
  <si>
    <t>Employees</t>
  </si>
  <si>
    <t>Net financial income / expense</t>
  </si>
  <si>
    <t>Income from / expense on equity investments</t>
  </si>
  <si>
    <t>Income taxes</t>
  </si>
  <si>
    <t xml:space="preserve">Profit / Loss </t>
  </si>
  <si>
    <t xml:space="preserve">of which: </t>
  </si>
  <si>
    <t>Group interest in profit / loss</t>
  </si>
  <si>
    <t>BALANCE SHEET AT DECEMBER 31ST</t>
  </si>
  <si>
    <t>Property, plant and equipment</t>
  </si>
  <si>
    <t>Operating working capital</t>
  </si>
  <si>
    <t>Reserve for employee severance indemnities</t>
  </si>
  <si>
    <t>Net invested capital</t>
  </si>
  <si>
    <t>Group interest in stockholders' equity</t>
  </si>
  <si>
    <t>Stockholders' equity</t>
  </si>
  <si>
    <t>Net borrowings</t>
  </si>
  <si>
    <t>Dividends received</t>
  </si>
  <si>
    <t>Other revenues</t>
  </si>
  <si>
    <t>Total assets</t>
  </si>
  <si>
    <t>Capital expenditures</t>
  </si>
  <si>
    <t>Investments in intangibles</t>
  </si>
  <si>
    <t>Total capital investments</t>
  </si>
  <si>
    <t xml:space="preserve">Sales revenues </t>
  </si>
  <si>
    <t>Electric power</t>
  </si>
  <si>
    <t>Green certificates</t>
  </si>
  <si>
    <t>Other materials, utilities and demineralised industrial water</t>
  </si>
  <si>
    <t>SOURCES (GWh)</t>
  </si>
  <si>
    <t>USES (GWh)</t>
  </si>
  <si>
    <t>Net production Edison</t>
  </si>
  <si>
    <t>Production in Italy</t>
  </si>
  <si>
    <t>Residential use</t>
  </si>
  <si>
    <t>Industrial use</t>
  </si>
  <si>
    <t>Thermoelectric fuel use</t>
  </si>
  <si>
    <t>Other sales</t>
  </si>
  <si>
    <t>RAW MATERIALS AND SERVICES USED</t>
  </si>
  <si>
    <t>Sundry charges</t>
  </si>
  <si>
    <t>Total raw materials and services used</t>
  </si>
  <si>
    <t>Coal</t>
  </si>
  <si>
    <t>Thermoelectric</t>
  </si>
  <si>
    <t>Hydroelectric</t>
  </si>
  <si>
    <t>Other assets, liabilities and reserves for risks and charges</t>
  </si>
  <si>
    <t>Minority interests in stockholders' equity</t>
  </si>
  <si>
    <t xml:space="preserve">EDISON CONSOLIDATED RESULTS IAS/ IFRs COMPLIANT </t>
  </si>
  <si>
    <t>Electric Power</t>
  </si>
  <si>
    <t>Hydrocarbons</t>
  </si>
  <si>
    <t>Corporate</t>
  </si>
  <si>
    <t>Adjustments</t>
  </si>
  <si>
    <t>Raw Materials and Services</t>
  </si>
  <si>
    <t>Total EBIT</t>
  </si>
  <si>
    <t>Net Financial Income (Expense)</t>
  </si>
  <si>
    <t>Income from (expense on) equity investments</t>
  </si>
  <si>
    <t>Other Net Income (Expense)</t>
  </si>
  <si>
    <t>Profit Before Taxes</t>
  </si>
  <si>
    <t>Income Taxes</t>
  </si>
  <si>
    <t xml:space="preserve">Minority' s Interest in net (Income) loss </t>
  </si>
  <si>
    <t>Group Interest in Net income</t>
  </si>
  <si>
    <t>Net Invested Capital</t>
  </si>
  <si>
    <t>Stockholders' Equity</t>
  </si>
  <si>
    <t xml:space="preserve">     of which Group's Interest</t>
  </si>
  <si>
    <t>Net Borrowings</t>
  </si>
  <si>
    <t>Capital Expenditures</t>
  </si>
  <si>
    <t>Sources</t>
  </si>
  <si>
    <t>Other purchases and swaps</t>
  </si>
  <si>
    <t>Uses</t>
  </si>
  <si>
    <t>Total Uses</t>
  </si>
  <si>
    <t>Other Sales</t>
  </si>
  <si>
    <t>Debt /Equity</t>
  </si>
  <si>
    <t>CS</t>
  </si>
  <si>
    <t>UD</t>
  </si>
  <si>
    <t>Profit (loss) from discontinued operations</t>
  </si>
  <si>
    <t xml:space="preserve">Emission Rights </t>
  </si>
  <si>
    <t>Paderno - Bertini</t>
  </si>
  <si>
    <t>Robbiate - Esterle</t>
  </si>
  <si>
    <t>Meduno</t>
  </si>
  <si>
    <t>Total Sales Revenues</t>
  </si>
  <si>
    <t xml:space="preserve">Total Net Revenues </t>
  </si>
  <si>
    <t>Profit (loss) from discontinued operation</t>
  </si>
  <si>
    <t>Other income / expense</t>
  </si>
  <si>
    <t>Profit before taxes</t>
  </si>
  <si>
    <t xml:space="preserve">Profit / Loss from continuing operations </t>
  </si>
  <si>
    <t xml:space="preserve">Net Result </t>
  </si>
  <si>
    <t>Net Result from Continuing Operations</t>
  </si>
  <si>
    <t xml:space="preserve">Capital Expenditures </t>
  </si>
  <si>
    <t xml:space="preserve">Sales Revenues </t>
  </si>
  <si>
    <t>Simeri Crichi</t>
  </si>
  <si>
    <t>CZ</t>
  </si>
  <si>
    <t>Cedegolo</t>
  </si>
  <si>
    <t>Istrago</t>
  </si>
  <si>
    <t>Fontanamora</t>
  </si>
  <si>
    <t>Gaver</t>
  </si>
  <si>
    <t>Valina</t>
  </si>
  <si>
    <t>Chievolis</t>
  </si>
  <si>
    <t>Colle</t>
  </si>
  <si>
    <t>Pozzolago - Lona Lases</t>
  </si>
  <si>
    <t xml:space="preserve">Capital Expenditures and Exploration </t>
  </si>
  <si>
    <t>Transmission of electric power and gas</t>
  </si>
  <si>
    <t>Mollaro</t>
  </si>
  <si>
    <t>Lucito</t>
  </si>
  <si>
    <t>Altomonte</t>
  </si>
  <si>
    <t>Labour Costs</t>
  </si>
  <si>
    <t>Minority interest in (profit) / loss</t>
  </si>
  <si>
    <t>Total Oil Production</t>
  </si>
  <si>
    <t>OIL PRODUCTION (kbbl)</t>
  </si>
  <si>
    <t>Biomass</t>
  </si>
  <si>
    <t>Wind and other renewables</t>
  </si>
  <si>
    <t xml:space="preserve">Marghera Levante </t>
  </si>
  <si>
    <t>captive</t>
  </si>
  <si>
    <t>1992 e 2001 (repowering TV)</t>
  </si>
  <si>
    <t>Sesto San giovanni</t>
  </si>
  <si>
    <t>Torviscosa</t>
  </si>
  <si>
    <t>Elpedison</t>
  </si>
  <si>
    <t>TN</t>
  </si>
  <si>
    <t>Dolomiti Edison Energy Srl</t>
  </si>
  <si>
    <t>BS</t>
  </si>
  <si>
    <t>SO</t>
  </si>
  <si>
    <t>CO</t>
  </si>
  <si>
    <t>Calusco - Semenza</t>
  </si>
  <si>
    <t>BG</t>
  </si>
  <si>
    <t>VB</t>
  </si>
  <si>
    <t>Run of river - mini hydro</t>
  </si>
  <si>
    <t>Piozzo - Farigliano</t>
  </si>
  <si>
    <t>Basin - mini hydro</t>
  </si>
  <si>
    <t>PN</t>
  </si>
  <si>
    <t>Sistemi di Energia Spa</t>
  </si>
  <si>
    <t>Switzerland</t>
  </si>
  <si>
    <t>Kraftwerke</t>
  </si>
  <si>
    <t>Ripabottoni</t>
  </si>
  <si>
    <t>Sella di Conza</t>
  </si>
  <si>
    <t>Photovoltaic Altomonte</t>
  </si>
  <si>
    <t>P &amp; L</t>
  </si>
  <si>
    <t>GAS SOURCES (mln cm)</t>
  </si>
  <si>
    <t>GAS USES (mln cm)</t>
  </si>
  <si>
    <t>ELECTRIC POWER OPERATIONS</t>
  </si>
  <si>
    <t>HYDROCARBONS OPERATIONS</t>
  </si>
  <si>
    <t>VOLUMES</t>
  </si>
  <si>
    <t xml:space="preserve"> ELECTRIC POWER</t>
  </si>
  <si>
    <t>HYDROCARBONS</t>
  </si>
  <si>
    <t>COSTS</t>
  </si>
  <si>
    <r>
      <t xml:space="preserve">P&amp;L </t>
    </r>
    <r>
      <rPr>
        <u val="single"/>
        <sz val="10"/>
        <rFont val="Arial"/>
        <family val="2"/>
      </rPr>
      <t>(€ mln)</t>
    </r>
  </si>
  <si>
    <r>
      <t xml:space="preserve">BALANCE SHEET </t>
    </r>
    <r>
      <rPr>
        <u val="single"/>
        <sz val="10"/>
        <rFont val="Arial"/>
        <family val="2"/>
      </rPr>
      <t>(€ mln)</t>
    </r>
  </si>
  <si>
    <r>
      <t>ELECTRIC POWER OPERATIONS</t>
    </r>
    <r>
      <rPr>
        <u val="single"/>
        <sz val="10"/>
        <rFont val="Arial"/>
        <family val="2"/>
      </rPr>
      <t xml:space="preserve"> (€ mln)</t>
    </r>
  </si>
  <si>
    <r>
      <t xml:space="preserve">HYDROCARBONS OPERATIONS </t>
    </r>
    <r>
      <rPr>
        <u val="single"/>
        <sz val="10"/>
        <rFont val="Arial"/>
        <family val="2"/>
      </rPr>
      <t>(€ mln)</t>
    </r>
  </si>
  <si>
    <r>
      <t>ELECTRIC POWER VOLUMES</t>
    </r>
    <r>
      <rPr>
        <u val="single"/>
        <sz val="10"/>
        <rFont val="Arial"/>
        <family val="2"/>
      </rPr>
      <t xml:space="preserve"> (GWh)</t>
    </r>
  </si>
  <si>
    <r>
      <t xml:space="preserve">HYDROCARBONS VOLUMES </t>
    </r>
    <r>
      <rPr>
        <u val="single"/>
        <sz val="10"/>
        <rFont val="Arial"/>
        <family val="2"/>
      </rPr>
      <t>(bcm)</t>
    </r>
  </si>
  <si>
    <t>Mistretta</t>
  </si>
  <si>
    <t>Thisvi</t>
  </si>
  <si>
    <t>Greece</t>
  </si>
  <si>
    <t>Regassification fee</t>
  </si>
  <si>
    <t>LO</t>
  </si>
  <si>
    <t>P1: proved reserves</t>
  </si>
  <si>
    <t>P2: probable reserves</t>
  </si>
  <si>
    <t>Import Pipe + GNL</t>
  </si>
  <si>
    <t>IQ 2013</t>
  </si>
  <si>
    <t>IIQ 2013</t>
  </si>
  <si>
    <t>IH 2013</t>
  </si>
  <si>
    <t>III Q 2013</t>
  </si>
  <si>
    <t>9M 2013</t>
  </si>
  <si>
    <t>IV Q 2013</t>
  </si>
  <si>
    <t>FY 2013</t>
  </si>
  <si>
    <t>Total captive (MW)</t>
  </si>
  <si>
    <t>Photovoltaic Piedimonte</t>
  </si>
  <si>
    <t>Photovoltaic Oviglio</t>
  </si>
  <si>
    <t>Photovoltaic Cascine Bianche</t>
  </si>
  <si>
    <t>Photovoltaic Termoli</t>
  </si>
  <si>
    <t>Photovoltaic Mediglia</t>
  </si>
  <si>
    <t>Photovoltaic Latina</t>
  </si>
  <si>
    <t>Photovoltaic Monza</t>
  </si>
  <si>
    <t>IQ 2014</t>
  </si>
  <si>
    <t>IIQ 2014</t>
  </si>
  <si>
    <t>IH 2014</t>
  </si>
  <si>
    <t>III Q 2014</t>
  </si>
  <si>
    <t>9M 2014</t>
  </si>
  <si>
    <t>IV Q 2014</t>
  </si>
  <si>
    <t>FY 2014</t>
  </si>
  <si>
    <t>Restated</t>
  </si>
  <si>
    <t>Cancellation of non monetary items included in EBITDA</t>
  </si>
  <si>
    <t>Change in non operating working capital</t>
  </si>
  <si>
    <t>Other items</t>
  </si>
  <si>
    <t>T-Power (Tessaloniki)</t>
  </si>
  <si>
    <t>Ibiritermo</t>
  </si>
  <si>
    <t>Brazil</t>
  </si>
  <si>
    <t>E2I Energie Speciali Srl</t>
  </si>
  <si>
    <t>Andretta - Bisaccia</t>
  </si>
  <si>
    <t>Baselice</t>
  </si>
  <si>
    <t>Edison Energy Solutions Spa</t>
  </si>
  <si>
    <t xml:space="preserve">(*) In accordance with IFRS 11 “Joint arrangements” from January 2014 some companies were deconsolidated line by line and valued by equity method.
</t>
  </si>
  <si>
    <t>For example: Elpedison, Ibiritermo, Sel Edison, Parco Eolico Castelnuovo.</t>
  </si>
  <si>
    <t>Total thermoelectric plants Edison (MW)</t>
  </si>
  <si>
    <t>Thermoelectric Plants - Deconsolidated (out of Edison perimeter)(*)</t>
  </si>
  <si>
    <t>Total foreign deconsolidated capacity (MW)</t>
  </si>
  <si>
    <t>Roccaspinalveti</t>
  </si>
  <si>
    <t>Total  Edison wind farms (MW)</t>
  </si>
  <si>
    <t>Net financial expenses paid</t>
  </si>
  <si>
    <t>Net income taxes paid</t>
  </si>
  <si>
    <t>Change in other operating assets and liabilities</t>
  </si>
  <si>
    <t>Cash flow from operating activities</t>
  </si>
  <si>
    <t>Change in operating working capital</t>
  </si>
  <si>
    <t>Net investments</t>
  </si>
  <si>
    <t>Cash flow after net investments and change in working capital</t>
  </si>
  <si>
    <t>Dividends paid</t>
  </si>
  <si>
    <t>Net cash flow for the period</t>
  </si>
  <si>
    <t>Net financial debt at end of the period</t>
  </si>
  <si>
    <t>IQ 2015</t>
  </si>
  <si>
    <t>IIQ 2015</t>
  </si>
  <si>
    <t>IH 2015</t>
  </si>
  <si>
    <t>III Q 2015</t>
  </si>
  <si>
    <t>9M 2015</t>
  </si>
  <si>
    <t>IV Q 2015</t>
  </si>
  <si>
    <t>FY 2015</t>
  </si>
  <si>
    <t>Net change in fair value of commodity derivatives</t>
  </si>
  <si>
    <t>Other income (expense), net</t>
  </si>
  <si>
    <t>Maleo</t>
  </si>
  <si>
    <t>Foiano -Toppo Grosso - M.te Barbato</t>
  </si>
  <si>
    <t>IQ 2016</t>
  </si>
  <si>
    <t>IIQ 2016</t>
  </si>
  <si>
    <t>IH 2016</t>
  </si>
  <si>
    <t>III Q 2016</t>
  </si>
  <si>
    <t>9M 2016</t>
  </si>
  <si>
    <t>IV Q 2016</t>
  </si>
  <si>
    <t>Net installed capacity 
MW</t>
  </si>
  <si>
    <t>Edison %</t>
  </si>
  <si>
    <t>Edison stake in net installed capacity
MW</t>
  </si>
  <si>
    <t>Consolidation method</t>
  </si>
  <si>
    <t xml:space="preserve"> line by line</t>
  </si>
  <si>
    <t>CCGT/LMS100</t>
  </si>
  <si>
    <t xml:space="preserve">Greece </t>
  </si>
  <si>
    <t>Equity method</t>
  </si>
  <si>
    <t xml:space="preserve">Edison % </t>
  </si>
  <si>
    <t>S. Giustina</t>
  </si>
  <si>
    <t>line by line</t>
  </si>
  <si>
    <t>Taio</t>
  </si>
  <si>
    <t>Cogno</t>
  </si>
  <si>
    <t>La Rocca</t>
  </si>
  <si>
    <t>Piancone</t>
  </si>
  <si>
    <t>BI</t>
  </si>
  <si>
    <t>Alto Preit</t>
  </si>
  <si>
    <t>CU</t>
  </si>
  <si>
    <t>Boschetto</t>
  </si>
  <si>
    <t>Verbano-Cusio-Ossola</t>
  </si>
  <si>
    <t>Dora II</t>
  </si>
  <si>
    <t>TO</t>
  </si>
  <si>
    <t>Gaggiolo</t>
  </si>
  <si>
    <t>Molino II</t>
  </si>
  <si>
    <t>Montalto</t>
  </si>
  <si>
    <t>Montescheno</t>
  </si>
  <si>
    <t>San Floreano</t>
  </si>
  <si>
    <t>Barcis</t>
  </si>
  <si>
    <t>Cellina Energy</t>
  </si>
  <si>
    <t>Cordenons</t>
  </si>
  <si>
    <t>Ponte Giulio</t>
  </si>
  <si>
    <t>San Foca</t>
  </si>
  <si>
    <t>San Leonardo</t>
  </si>
  <si>
    <t>Villa Rinaldi</t>
  </si>
  <si>
    <t>Arta</t>
  </si>
  <si>
    <t>Campagnola</t>
  </si>
  <si>
    <t>Campolessi</t>
  </si>
  <si>
    <t>Cisterna</t>
  </si>
  <si>
    <t>Fogliano</t>
  </si>
  <si>
    <t>GO</t>
  </si>
  <si>
    <t>Luincis</t>
  </si>
  <si>
    <t>Maseris</t>
  </si>
  <si>
    <t>Monfalcone Anconetta</t>
  </si>
  <si>
    <t>Monfalcone Porto</t>
  </si>
  <si>
    <t>Mulinaris</t>
  </si>
  <si>
    <t>Pineda</t>
  </si>
  <si>
    <t>Redipuglia</t>
  </si>
  <si>
    <t>Rodeano</t>
  </si>
  <si>
    <t>Ronchi</t>
  </si>
  <si>
    <t>Savorgnana</t>
  </si>
  <si>
    <t>Tramba</t>
  </si>
  <si>
    <t>Zoppola</t>
  </si>
  <si>
    <t>equity method</t>
  </si>
  <si>
    <t>Nominal capacity
MW</t>
  </si>
  <si>
    <t>Edison stake in nominal capacity 
MW</t>
  </si>
  <si>
    <t>Photovoltaic and biomass</t>
  </si>
  <si>
    <t>Total photovoltaic and biomass (MW)</t>
  </si>
  <si>
    <t>TOTAL OTHER RENEWABLES</t>
  </si>
  <si>
    <t>Installed capacity (MW)</t>
  </si>
  <si>
    <t>nr</t>
  </si>
  <si>
    <t>Wind</t>
  </si>
  <si>
    <t>Photovoltaic</t>
  </si>
  <si>
    <t>Total</t>
  </si>
  <si>
    <t xml:space="preserve">      Gas activities</t>
  </si>
  <si>
    <t>EBITDA Corporate and adjustments</t>
  </si>
  <si>
    <t xml:space="preserve">        Gas activities</t>
  </si>
  <si>
    <t xml:space="preserve">Reported EBIT </t>
  </si>
  <si>
    <t>Total Sources</t>
  </si>
  <si>
    <t>Other purchases</t>
  </si>
  <si>
    <t>Change in stored gas inventory</t>
  </si>
  <si>
    <t>FY 2016 (1)</t>
  </si>
  <si>
    <t>(1) FY2016 figures include the full consolidation of Fenice from April 1, the swap of Edison participations in Hydros and Sel Edison with 100%  of Cellina Energy, fully consolidated from June 1, the acquisition of Idreg Piemonte assets on May 25, the sale of Termica Milazzo on Aug. 1 and the  sale of Fenice Russia in September</t>
  </si>
  <si>
    <t>Adjusted EBITDA (2)</t>
  </si>
  <si>
    <t>(2) Adjusted EBITDA reflect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being made to provide a consistent operational presentation of industrial results. Adjusted EBITDA include central staff and technical services.</t>
  </si>
  <si>
    <t>2013 Restated</t>
  </si>
  <si>
    <t>2014 Restated</t>
  </si>
  <si>
    <t>2016 (1)</t>
  </si>
  <si>
    <t xml:space="preserve">(3) 2013 N/A due to the implementation of the new cash flow scheme from 2014 </t>
  </si>
  <si>
    <t xml:space="preserve">Goodwill </t>
  </si>
  <si>
    <t>Intangibles</t>
  </si>
  <si>
    <t xml:space="preserve">Financial fixed assets </t>
  </si>
  <si>
    <t xml:space="preserve">Depreciation and Amortization </t>
  </si>
  <si>
    <t>Writedowns</t>
  </si>
  <si>
    <t xml:space="preserve">Depreciation and Amortization  </t>
  </si>
  <si>
    <t xml:space="preserve">IH 2016 </t>
  </si>
  <si>
    <t>Writedowns of trade and other receivables</t>
  </si>
  <si>
    <t>Realized Commodity derivatives</t>
  </si>
  <si>
    <t>Change in inventories</t>
  </si>
  <si>
    <t>Use of property not owned</t>
  </si>
  <si>
    <t>Maintenance</t>
  </si>
  <si>
    <t>Professional services</t>
  </si>
  <si>
    <t>Additions to provisions for miscellaneous</t>
  </si>
  <si>
    <t>Sub-total</t>
  </si>
  <si>
    <t>Other fuel costs</t>
  </si>
  <si>
    <t>Natural Gas</t>
  </si>
  <si>
    <t>Margin on financial trading activities</t>
  </si>
  <si>
    <t>Losses on sale of property, plant and equipment</t>
  </si>
  <si>
    <t xml:space="preserve">Thermoelectric </t>
  </si>
  <si>
    <t xml:space="preserve">Hydroelectric </t>
  </si>
  <si>
    <t>Wind and other Renewables</t>
  </si>
  <si>
    <t>End customers</t>
  </si>
  <si>
    <r>
      <t>Other purchases (wholesalers, IPEX, etc.)</t>
    </r>
    <r>
      <rPr>
        <vertAlign val="superscript"/>
        <sz val="10"/>
        <rFont val="Arial"/>
        <family val="2"/>
      </rPr>
      <t xml:space="preserve"> (1)</t>
    </r>
  </si>
  <si>
    <r>
      <t xml:space="preserve">Production outside Italy </t>
    </r>
    <r>
      <rPr>
        <sz val="8"/>
        <rFont val="Arial"/>
        <family val="2"/>
      </rPr>
      <t>(including volumes withheld as production tax)</t>
    </r>
  </si>
  <si>
    <r>
      <t xml:space="preserve">Production in Italy </t>
    </r>
    <r>
      <rPr>
        <vertAlign val="superscript"/>
        <sz val="10"/>
        <rFont val="Arial"/>
        <family val="2"/>
      </rPr>
      <t>(1)</t>
    </r>
  </si>
  <si>
    <t>Sales outside Italy</t>
  </si>
  <si>
    <t xml:space="preserve">Other purchases </t>
  </si>
  <si>
    <t>Production outside Italy</t>
  </si>
  <si>
    <t xml:space="preserve">Depreciation and  Amortization </t>
  </si>
  <si>
    <t xml:space="preserve">Total EBIT </t>
  </si>
  <si>
    <t>Net financial debt at beginning of period</t>
  </si>
  <si>
    <t>RESERVES P1 + 50% P2 (bln cm equivalent)</t>
  </si>
  <si>
    <t>Gas production outside Italy</t>
  </si>
  <si>
    <t>SERBATOIO    -   reservoir</t>
  </si>
  <si>
    <t>BACINO         -         basin</t>
  </si>
  <si>
    <t>FLUENTE     -    run of river</t>
  </si>
  <si>
    <t>RID</t>
  </si>
  <si>
    <t>Far-e</t>
  </si>
  <si>
    <t>Region</t>
  </si>
  <si>
    <t>Wind Power Plants</t>
  </si>
  <si>
    <t>Campania</t>
  </si>
  <si>
    <t>Casone Romano - Castelnuovo Daunia</t>
  </si>
  <si>
    <t>Puglia</t>
  </si>
  <si>
    <t>Abruzzo</t>
  </si>
  <si>
    <t>Castiglione Messer Marino - Ampliamento</t>
  </si>
  <si>
    <t>Faeto San Vito Ciuccia</t>
  </si>
  <si>
    <t>Faeto ampliamento</t>
  </si>
  <si>
    <t>Foiano Ampliamento</t>
  </si>
  <si>
    <t>Fraine</t>
  </si>
  <si>
    <t>Molise</t>
  </si>
  <si>
    <t>Melissa PESF</t>
  </si>
  <si>
    <t>Calabria</t>
  </si>
  <si>
    <t>Melissa Strongoli</t>
  </si>
  <si>
    <t>Sicilia</t>
  </si>
  <si>
    <t>Montazzoli</t>
  </si>
  <si>
    <t>Monteferrante</t>
  </si>
  <si>
    <t>Montemignaio</t>
  </si>
  <si>
    <t>Toscana</t>
  </si>
  <si>
    <t>Orsara di Puglia</t>
  </si>
  <si>
    <t>Rignano Garganico</t>
  </si>
  <si>
    <t>Rocchetta S.Antonio</t>
  </si>
  <si>
    <t>Rojo del Sangro</t>
  </si>
  <si>
    <t>San benedetto Val di Sambro</t>
  </si>
  <si>
    <t>Emilia Romagna</t>
  </si>
  <si>
    <t>San Giorgio la Molara Polero</t>
  </si>
  <si>
    <t>Schiavi d'Abruzzo</t>
  </si>
  <si>
    <t>Vaglio di Basilicata</t>
  </si>
  <si>
    <t>Basilicata</t>
  </si>
  <si>
    <t>Volturara Motta Montecorvino</t>
  </si>
  <si>
    <t>Lazio</t>
  </si>
  <si>
    <t>Piemonte</t>
  </si>
  <si>
    <t>Veneto</t>
  </si>
  <si>
    <t>THERMOELECTRIC</t>
  </si>
  <si>
    <t xml:space="preserve">HAUPT PHARMA </t>
  </si>
  <si>
    <t>Borgo San Michele di Latina (LT)</t>
  </si>
  <si>
    <t xml:space="preserve">industrial </t>
  </si>
  <si>
    <t>Gas engine</t>
  </si>
  <si>
    <t>CIER</t>
  </si>
  <si>
    <t>Castellalto Vomano (TE)</t>
  </si>
  <si>
    <t>PLASTOTECNICA</t>
  </si>
  <si>
    <t>Bagnoli di Sopra (PD)</t>
  </si>
  <si>
    <t>Albizzate</t>
  </si>
  <si>
    <t>North Italy</t>
  </si>
  <si>
    <t>Fenice</t>
  </si>
  <si>
    <t>Cogeneration</t>
  </si>
  <si>
    <t>Atessa Sevel</t>
  </si>
  <si>
    <t>South Italy</t>
  </si>
  <si>
    <t>Trigeneration</t>
  </si>
  <si>
    <t>Barge</t>
  </si>
  <si>
    <t>Biandronno</t>
  </si>
  <si>
    <t>Brescia</t>
  </si>
  <si>
    <t>Caserta - Marcianise</t>
  </si>
  <si>
    <t>Ergom -Melfi</t>
  </si>
  <si>
    <t>Gelco</t>
  </si>
  <si>
    <t>Melfi (Rendina Ambiente S.r.l)</t>
  </si>
  <si>
    <t>Southern Italy</t>
  </si>
  <si>
    <t>waste from industry and public administration</t>
  </si>
  <si>
    <t>Furnace</t>
  </si>
  <si>
    <t>industrial</t>
  </si>
  <si>
    <t>Parma</t>
  </si>
  <si>
    <t>Middle Italy</t>
  </si>
  <si>
    <t>Sata</t>
  </si>
  <si>
    <t>Scarlino</t>
  </si>
  <si>
    <t>Stura</t>
  </si>
  <si>
    <t>La Mandria</t>
  </si>
  <si>
    <t>Northern Italy</t>
  </si>
  <si>
    <t>Electricity grid</t>
  </si>
  <si>
    <t>canal</t>
  </si>
  <si>
    <t>OTHER RENEWABLES</t>
  </si>
  <si>
    <t xml:space="preserve">Photovoltaic </t>
  </si>
  <si>
    <t>Mediglia (MI)</t>
  </si>
  <si>
    <t>Latina (LT)</t>
  </si>
  <si>
    <t>Monza (MB)</t>
  </si>
  <si>
    <t>Total photovoltaic (MW)</t>
  </si>
  <si>
    <t>Generation plants</t>
  </si>
  <si>
    <t>Thermoelectric (Greece + Brazil)</t>
  </si>
  <si>
    <t>EDISON CONSOLIDATED ANNUAL PROFIT AND LOSS, BALANCE SHEET AND CASH FLOW STATEMENT</t>
  </si>
  <si>
    <t>Adjusted EBITDA (2) Electric Power operations</t>
  </si>
  <si>
    <t>Adjusted EBITDA (2) Hydrocarbons operations</t>
  </si>
  <si>
    <t xml:space="preserve">       Exploration and production</t>
  </si>
  <si>
    <t>Total EBITDA</t>
  </si>
  <si>
    <t>EDISON ANNUAL RESULTS BY DIVISION</t>
  </si>
  <si>
    <t xml:space="preserve">Reported EBITDA </t>
  </si>
  <si>
    <t xml:space="preserve">        Exploration &amp; Production</t>
  </si>
  <si>
    <t>Investments in exploration</t>
  </si>
  <si>
    <t xml:space="preserve">(2) Before line losses </t>
  </si>
  <si>
    <t>(3) Excluding the trading portfolio</t>
  </si>
  <si>
    <r>
      <t xml:space="preserve">End customers </t>
    </r>
    <r>
      <rPr>
        <vertAlign val="superscript"/>
        <sz val="10"/>
        <rFont val="Arial"/>
        <family val="2"/>
      </rPr>
      <t>(2)</t>
    </r>
  </si>
  <si>
    <r>
      <t xml:space="preserve">other sales (wholesalers, IPEX, etc.) </t>
    </r>
    <r>
      <rPr>
        <vertAlign val="superscript"/>
        <sz val="10"/>
        <rFont val="Arial"/>
        <family val="2"/>
      </rPr>
      <t>(3)</t>
    </r>
  </si>
  <si>
    <t>Import (Pipe +LNG)</t>
  </si>
  <si>
    <r>
      <t>Changes in stored gas inventory</t>
    </r>
    <r>
      <rPr>
        <vertAlign val="superscript"/>
        <sz val="10"/>
        <rFont val="Arial"/>
        <family val="2"/>
      </rPr>
      <t xml:space="preserve"> (2)</t>
    </r>
  </si>
  <si>
    <t>RESERVES P1 + 50% P2 (Mboe equivalent)</t>
  </si>
  <si>
    <t>(1) Including the production from the Izabela concession in Croatia imported in Italy from 2014</t>
  </si>
  <si>
    <t>(2) Includes pipeline leaks. A negative change reflects additions to the stored gas inventory</t>
  </si>
  <si>
    <t>Adjusted EBITDA (2) Electric Power</t>
  </si>
  <si>
    <t xml:space="preserve">Adjusted EBITDA (2) Hydrocarbons </t>
  </si>
  <si>
    <t xml:space="preserve">      Exploration and production</t>
  </si>
  <si>
    <t xml:space="preserve">Of which: </t>
  </si>
  <si>
    <t xml:space="preserve">      Of which: </t>
  </si>
  <si>
    <t>Employees (Number end of period)</t>
  </si>
  <si>
    <t>Reported EBITDA</t>
  </si>
  <si>
    <t>of which:</t>
  </si>
  <si>
    <t>Gas Uses</t>
  </si>
  <si>
    <t>Gas Sources</t>
  </si>
  <si>
    <r>
      <t xml:space="preserve">Production Italy </t>
    </r>
    <r>
      <rPr>
        <vertAlign val="superscript"/>
        <sz val="10"/>
        <rFont val="Arial"/>
        <family val="2"/>
      </rPr>
      <t>(3)</t>
    </r>
  </si>
  <si>
    <r>
      <t xml:space="preserve">CRUDE OIL VOLUMES </t>
    </r>
    <r>
      <rPr>
        <u val="single"/>
        <sz val="10"/>
        <rFont val="Arial"/>
        <family val="2"/>
      </rPr>
      <t>(kbbl)</t>
    </r>
  </si>
  <si>
    <t>Crude oil production</t>
  </si>
  <si>
    <t xml:space="preserve">Production Italy </t>
  </si>
  <si>
    <t>(4) Counting volumes withheld as production tax</t>
  </si>
  <si>
    <t xml:space="preserve">Total Production </t>
  </si>
  <si>
    <r>
      <t xml:space="preserve">Production outside Italy </t>
    </r>
    <r>
      <rPr>
        <vertAlign val="superscript"/>
        <sz val="10"/>
        <rFont val="Arial"/>
        <family val="2"/>
      </rPr>
      <t>(4)</t>
    </r>
  </si>
  <si>
    <t>(3) It includes the production from the Izabela concession in Croatia imported into Italy from 2014</t>
  </si>
  <si>
    <t>Employees (nr of units end of period)</t>
  </si>
  <si>
    <t>(1) Before line losses and excluding the trading portfolio</t>
  </si>
  <si>
    <t>IQ 2017</t>
  </si>
  <si>
    <t>n.a</t>
  </si>
  <si>
    <t>IIQ 2017</t>
  </si>
  <si>
    <t>III Q 2017</t>
  </si>
  <si>
    <t>9M 2017</t>
  </si>
  <si>
    <t>IV Q 2017</t>
  </si>
  <si>
    <t>Mini hydro</t>
  </si>
  <si>
    <t>Large</t>
  </si>
  <si>
    <t>MW</t>
  </si>
  <si>
    <t xml:space="preserve">Run of river </t>
  </si>
  <si>
    <t xml:space="preserve">Reservoir </t>
  </si>
  <si>
    <t>Ex Shen, acquired in 2015</t>
  </si>
  <si>
    <t>SDE acquired in 2H2009</t>
  </si>
  <si>
    <t>Idreg acquired on May 25, 2016</t>
  </si>
  <si>
    <t>Cellina, acquired in May 2016, consolidated from June 1 2016</t>
  </si>
  <si>
    <t>Pizzighettone</t>
  </si>
  <si>
    <t>CR</t>
  </si>
  <si>
    <t>Cresti</t>
  </si>
  <si>
    <t>Mini hydro plants</t>
  </si>
  <si>
    <t>Other hydro plants (concessions)</t>
  </si>
  <si>
    <t xml:space="preserve">ITALY </t>
  </si>
  <si>
    <t>Natural gas</t>
  </si>
  <si>
    <t>Total  (MW)</t>
  </si>
  <si>
    <t>INTERNATIONAL</t>
  </si>
  <si>
    <t>Nr of plants</t>
  </si>
  <si>
    <t>Poland (Rzeszow)</t>
  </si>
  <si>
    <t xml:space="preserve">Industrial </t>
  </si>
  <si>
    <t xml:space="preserve">fuel oil </t>
  </si>
  <si>
    <t>Total international (MW)</t>
  </si>
  <si>
    <t>Total energy efficiency (MW)</t>
  </si>
  <si>
    <t>ENERGY EFFICIENCY SUMMARY</t>
  </si>
  <si>
    <t>Edison Energy Solutions</t>
  </si>
  <si>
    <t>o/w Italy</t>
  </si>
  <si>
    <t xml:space="preserve">        Spain</t>
  </si>
  <si>
    <t>Coal (Poland)</t>
  </si>
  <si>
    <t>Hydroelectric (Italy)</t>
  </si>
  <si>
    <t>Energy Efficiency Plants (generation)</t>
  </si>
  <si>
    <t xml:space="preserve">Total sources </t>
  </si>
  <si>
    <t>Total uses</t>
  </si>
  <si>
    <t>FY 2017</t>
  </si>
  <si>
    <t>Non-recurring operations</t>
  </si>
  <si>
    <t>Tavagnasco</t>
  </si>
  <si>
    <t>Molino di Marano</t>
  </si>
  <si>
    <t>Ex Strada Statate 11</t>
  </si>
  <si>
    <t>Termini</t>
  </si>
  <si>
    <t>Maranzino</t>
  </si>
  <si>
    <t>Pignone</t>
  </si>
  <si>
    <t>1 Prolungamento</t>
  </si>
  <si>
    <t>Brelle</t>
  </si>
  <si>
    <t>Travacca di Villanova</t>
  </si>
  <si>
    <t>Codabassa</t>
  </si>
  <si>
    <t>Polverificio</t>
  </si>
  <si>
    <t>Carrù</t>
  </si>
  <si>
    <t>Vecchia Strada Gambolò</t>
  </si>
  <si>
    <t>Brida dei Cavalletti</t>
  </si>
  <si>
    <t>Chiusa della Città</t>
  </si>
  <si>
    <t>Chiusa di Nicorvo</t>
  </si>
  <si>
    <t>NO</t>
  </si>
  <si>
    <t>Frendy Energy Spa</t>
  </si>
  <si>
    <t>Fer</t>
  </si>
  <si>
    <t>PV</t>
  </si>
  <si>
    <t>Alfa Idro Spa</t>
  </si>
  <si>
    <t>Idro Blu Spa</t>
  </si>
  <si>
    <t>Idro Carrù Spa</t>
  </si>
  <si>
    <t>CCS Blu Spa</t>
  </si>
  <si>
    <t>Total Edison Hydroelectric Plants (MW) @ Dec 31, 2017</t>
  </si>
  <si>
    <t>HYDROELECTRIC GENERATION PLANTS @DEC 31, 2017</t>
  </si>
  <si>
    <t>THERMOELECTRIC GENERATION PLANTS @ DEC 31, 2017</t>
  </si>
  <si>
    <t>Plants at Dec 31, 2017</t>
  </si>
  <si>
    <t>OTHER RENEWABLES GENERATION PLANTS @ DEC 31, 2017</t>
  </si>
  <si>
    <t>Piemme Castelvetro</t>
  </si>
  <si>
    <t>Central Italy</t>
  </si>
  <si>
    <t>Natural gas/waste</t>
  </si>
  <si>
    <t>ENERGY EFFICIENCY PLANTS @ DEC 31, 2017</t>
  </si>
  <si>
    <t>Spain (Zarzalejo; Novafrigsa; Santa Cruz I; San Ciprian II)</t>
  </si>
  <si>
    <t xml:space="preserve">Spain (San Ciprian I) </t>
  </si>
  <si>
    <t>Spain (Valladolid) Fompedraza FV</t>
  </si>
  <si>
    <t>@ Dec 31, 2017</t>
  </si>
  <si>
    <t>2010; 2012; 2016; 2010</t>
  </si>
  <si>
    <t>Electric power operations</t>
  </si>
  <si>
    <t>Hydrocarbons operations</t>
  </si>
  <si>
    <t>Corporate activities and other segments</t>
  </si>
  <si>
    <t>Total for the Group</t>
  </si>
  <si>
    <t>Breakdown by Business Segment</t>
  </si>
  <si>
    <t>IH 2017</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</si>
</sst>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d\-mmm\-yy"/>
    <numFmt numFmtId="168" formatCode="#,##0.0"/>
    <numFmt numFmtId="169" formatCode="_-* #,##0.0_-;\-* #,##0.0_-;_-* &quot;-&quot;_-;_-@_-"/>
    <numFmt numFmtId="170" formatCode="_-* #,##0_-;\-* #,##0_-;_-* &quot;-&quot;?_-;_-@_-"/>
    <numFmt numFmtId="171" formatCode="#,##0.0_);[Red]\(#,##0.0\)"/>
    <numFmt numFmtId="172" formatCode="#,##0_);[Red]\(#,##0\);&quot;-&quot;_);@"/>
    <numFmt numFmtId="173" formatCode="#,##0.0_);[Red]\(#,##0.0\);&quot;-&quot;_);[Blue]&quot;Error-&quot;@"/>
    <numFmt numFmtId="174" formatCode="#,##0.00_);[Red]\(#,##0.00\);&quot;-&quot;_);[Blue]&quot;Error-&quot;@"/>
    <numFmt numFmtId="175" formatCode="#,##0_);[Red]\(#,##0\);&quot;-&quot;_);[Blue]&quot;Error-&quot;@"/>
    <numFmt numFmtId="176" formatCode="&quot;x&quot;\ #,##0.00_);[Red]&quot;x&quot;\ \(#,##0.00\);&quot;-&quot;_);@"/>
    <numFmt numFmtId="177" formatCode="&quot;£&quot;* #,##0_);[Red]&quot;£&quot;* \(#,##0\);&quot;£&quot;* &quot;-&quot;_);[Blue]&quot;Error-&quot;@"/>
    <numFmt numFmtId="178" formatCode="&quot;£&quot;* #,##0.0_);[Red]&quot;£&quot;* \(#,##0.0\);&quot;£&quot;* &quot;-&quot;_);[Blue]&quot;Error-&quot;@"/>
    <numFmt numFmtId="179" formatCode="&quot;£&quot;* #,##0.00_);[Red]&quot;£&quot;* \(#,##0.00\);&quot;£&quot;* &quot;-&quot;_);[Blue]&quot;Error-&quot;@"/>
    <numFmt numFmtId="180" formatCode="dd\ mmm\ yyyy_)"/>
    <numFmt numFmtId="181" formatCode="dd/mm/yy_)"/>
    <numFmt numFmtId="182" formatCode="0%_);[Red]\-0%_);0%_);[Blue]&quot;Error-&quot;@"/>
    <numFmt numFmtId="183" formatCode="0.0%_);[Red]\-0.0%_);0.0%_);[Blue]&quot;Error-&quot;@"/>
    <numFmt numFmtId="184" formatCode="0.00%_);[Red]\-0.00%_);0.00%_);[Blue]&quot;Error-&quot;@"/>
    <numFmt numFmtId="185" formatCode="#,##0.0;\(#,##0.0\)"/>
    <numFmt numFmtId="186" formatCode="#,##0.00;\(#,##0.00\)"/>
    <numFmt numFmtId="187" formatCode="#,##0.000;[Red]\(#,##0.000\)"/>
    <numFmt numFmtId="188" formatCode="000"/>
    <numFmt numFmtId="189" formatCode="[Blue]\+_ #,##0_);[Magenta]\(#,##0\);\-_)"/>
    <numFmt numFmtId="190" formatCode="[Blue]\+_ #,##0.0_);[Magenta]\(#,##0.0\);\-_)"/>
    <numFmt numFmtId="191" formatCode="[Blue]\+_ #,##0.00_);[Magenta]\(#,##0.00\);\-_)"/>
    <numFmt numFmtId="192" formatCode="yyyy/mm/dd\ "/>
    <numFmt numFmtId="193" formatCode="0.0000_)"/>
    <numFmt numFmtId="194" formatCode="[Blue]#,##0_);[Magenta]\(#,##0\)"/>
    <numFmt numFmtId="195" formatCode="[Blue]#,##0.0_);[Magenta]\(#,##0.0\)"/>
    <numFmt numFmtId="196" formatCode="[Blue]#,##0.00_);[Magenta]\(#,##0.00\)"/>
    <numFmt numFmtId="197" formatCode="[Blue]0.00%"/>
    <numFmt numFmtId="198" formatCode="[Blue]#,##0_);[Magenta]\(#,##0\);\-"/>
    <numFmt numFmtId="199" formatCode="[Blue]#,##0.000_);[Magenta]\(#,##0.000\);\-"/>
    <numFmt numFmtId="200" formatCode="#,##0_);[Red]\(#,##0\)"/>
    <numFmt numFmtId="201" formatCode="#,##0.00_);[Red]\(#,##0.00\)"/>
    <numFmt numFmtId="202" formatCode="#,##0.000_);[Red]\(#,##0.000\);\-"/>
    <numFmt numFmtId="203" formatCode="yyyy/mm/dd\ hh:mm"/>
    <numFmt numFmtId="204" formatCode="\'@\'"/>
    <numFmt numFmtId="205" formatCode="_-&quot;L.&quot;\ * #,##0_-;\-&quot;L.&quot;\ * #,##0_-;_-&quot;L.&quot;\ * &quot;-&quot;_-;_-@_-"/>
    <numFmt numFmtId="206" formatCode="#,##0.000"/>
    <numFmt numFmtId="207" formatCode="0.000"/>
    <numFmt numFmtId="208" formatCode="0.0000"/>
    <numFmt numFmtId="209" formatCode="_-* #,##0.00_-;\-* #,##0.00_-;_-* &quot;-&quot;_-;_-@_-"/>
    <numFmt numFmtId="210" formatCode="_-* #,##0.000_-;\-* #,##0.000_-;_-* &quot;-&quot;_-;_-@_-"/>
    <numFmt numFmtId="211" formatCode="_-* #,##0.0000_-;\-* #,##0.0000_-;_-* &quot;-&quot;_-;_-@_-"/>
    <numFmt numFmtId="212" formatCode="#,##0.0000"/>
    <numFmt numFmtId="213" formatCode="_-* #,##0.0_-;\-* #,##0.0_-;_-* &quot;-&quot;?_-;_-@_-"/>
    <numFmt numFmtId="214" formatCode="#,##0;\ \(#,##0\)"/>
    <numFmt numFmtId="215" formatCode="[$-F800]dddd\,\ mmmm\ dd\,\ yyyy"/>
    <numFmt numFmtId="216" formatCode="&quot;Sì&quot;;&quot;Sì&quot;;&quot;No&quot;"/>
    <numFmt numFmtId="217" formatCode="&quot;Vero&quot;;&quot;Vero&quot;;&quot;Falso&quot;"/>
    <numFmt numFmtId="218" formatCode="&quot;Attivo&quot;;&quot;Attivo&quot;;&quot;Inattivo&quot;"/>
    <numFmt numFmtId="219" formatCode="[$€-2]\ #.##000_);[Red]\([$€-2]\ #.##000\)"/>
    <numFmt numFmtId="220" formatCode="[$-410]mmmm\-yy;@"/>
    <numFmt numFmtId="221" formatCode="0.00000"/>
  </numFmts>
  <fonts count="127">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b/>
      <sz val="10"/>
      <color indexed="9"/>
      <name val="Arial"/>
      <family val="2"/>
    </font>
    <font>
      <b/>
      <i/>
      <sz val="10"/>
      <name val="Arial"/>
      <family val="2"/>
    </font>
    <font>
      <b/>
      <u val="single"/>
      <sz val="12"/>
      <name val="Arial"/>
      <family val="2"/>
    </font>
    <font>
      <sz val="10"/>
      <color indexed="12"/>
      <name val="Arial"/>
      <family val="2"/>
    </font>
    <font>
      <sz val="8"/>
      <name val="Arial"/>
      <family val="2"/>
    </font>
    <font>
      <i/>
      <sz val="10"/>
      <name val="Arial"/>
      <family val="2"/>
    </font>
    <font>
      <sz val="9"/>
      <name val="Arial"/>
      <family val="2"/>
    </font>
    <font>
      <b/>
      <sz val="9"/>
      <name val="Arial"/>
      <family val="2"/>
    </font>
    <font>
      <sz val="11"/>
      <name val="Arial"/>
      <family val="2"/>
    </font>
    <font>
      <u val="single"/>
      <sz val="10"/>
      <name val="Arial"/>
      <family val="2"/>
    </font>
    <font>
      <sz val="10"/>
      <name val="Helv"/>
      <family val="0"/>
    </font>
    <font>
      <sz val="13"/>
      <name val="Tms Rmn"/>
      <family val="0"/>
    </font>
    <font>
      <sz val="12"/>
      <name val="Tms Rmn"/>
      <family val="0"/>
    </font>
    <font>
      <sz val="10"/>
      <name val="Tms Rmn"/>
      <family val="0"/>
    </font>
    <font>
      <sz val="12"/>
      <color indexed="9"/>
      <name val="Arial"/>
      <family val="2"/>
    </font>
    <font>
      <sz val="11"/>
      <color indexed="8"/>
      <name val="Arial"/>
      <family val="2"/>
    </font>
    <font>
      <b/>
      <u val="single"/>
      <sz val="10"/>
      <name val="Helv"/>
      <family val="0"/>
    </font>
    <font>
      <b/>
      <i/>
      <sz val="10"/>
      <name val="Helv"/>
      <family val="0"/>
    </font>
    <font>
      <i/>
      <sz val="8"/>
      <color indexed="62"/>
      <name val="Arial"/>
      <family val="2"/>
    </font>
    <font>
      <sz val="8"/>
      <color indexed="20"/>
      <name val="Arial"/>
      <family val="2"/>
    </font>
    <font>
      <sz val="10"/>
      <name val="MS Sans Serif"/>
      <family val="2"/>
    </font>
    <font>
      <sz val="9"/>
      <name val="Geneva"/>
      <family val="0"/>
    </font>
    <font>
      <b/>
      <sz val="12"/>
      <color indexed="8"/>
      <name val="Arial"/>
      <family val="2"/>
    </font>
    <font>
      <b/>
      <i/>
      <u val="single"/>
      <sz val="10"/>
      <name val="Helv"/>
      <family val="0"/>
    </font>
    <font>
      <b/>
      <i/>
      <sz val="12"/>
      <name val="Arial"/>
      <family val="2"/>
    </font>
    <font>
      <sz val="9"/>
      <color indexed="8"/>
      <name val="Arial"/>
      <family val="2"/>
    </font>
    <font>
      <sz val="7"/>
      <name val="Arial"/>
      <family val="2"/>
    </font>
    <font>
      <b/>
      <u val="single"/>
      <sz val="16"/>
      <name val="Arial"/>
      <family val="2"/>
    </font>
    <font>
      <b/>
      <i/>
      <u val="single"/>
      <sz val="14"/>
      <name val="Arial"/>
      <family val="2"/>
    </font>
    <font>
      <b/>
      <sz val="10"/>
      <color indexed="10"/>
      <name val="Arial"/>
      <family val="2"/>
    </font>
    <font>
      <sz val="12"/>
      <name val="Arial"/>
      <family val="2"/>
    </font>
    <font>
      <b/>
      <sz val="10"/>
      <color indexed="12"/>
      <name val="Arial"/>
      <family val="2"/>
    </font>
    <font>
      <vertAlign val="superscript"/>
      <sz val="10"/>
      <name val="Arial"/>
      <family val="2"/>
    </font>
    <font>
      <b/>
      <i/>
      <u val="single"/>
      <sz val="10"/>
      <name val="Arial"/>
      <family val="2"/>
    </font>
    <font>
      <sz val="12"/>
      <name val="Calibri"/>
      <family val="2"/>
    </font>
    <font>
      <b/>
      <sz val="12"/>
      <name val="Calibri"/>
      <family val="2"/>
    </font>
    <font>
      <sz val="11"/>
      <name val="Calibri"/>
      <family val="2"/>
    </font>
    <font>
      <b/>
      <sz val="11"/>
      <name val="Calibri"/>
      <family val="2"/>
    </font>
    <font>
      <b/>
      <u val="single"/>
      <sz val="11"/>
      <name val="Calibri"/>
      <family val="2"/>
    </font>
    <font>
      <u val="single"/>
      <sz val="11"/>
      <name val="Calibri"/>
      <family val="2"/>
    </font>
    <font>
      <b/>
      <i/>
      <sz val="11"/>
      <name val="Calibri"/>
      <family val="2"/>
    </font>
    <font>
      <i/>
      <sz val="11"/>
      <name val="Calibri"/>
      <family val="2"/>
    </font>
    <font>
      <b/>
      <sz val="16"/>
      <name val="Calibri"/>
      <family val="2"/>
    </font>
    <font>
      <b/>
      <i/>
      <u val="single"/>
      <sz val="11"/>
      <name val="Calibri"/>
      <family val="2"/>
    </font>
    <font>
      <b/>
      <sz val="8"/>
      <color indexed="8"/>
      <name val="Tahoma"/>
      <family val="2"/>
    </font>
    <font>
      <sz val="8"/>
      <color indexed="8"/>
      <name val="Tahoma"/>
      <family val="2"/>
    </font>
    <font>
      <b/>
      <sz val="10"/>
      <color indexed="8"/>
      <name val="Tahoma"/>
      <family val="2"/>
    </font>
    <font>
      <sz val="10"/>
      <color indexed="8"/>
      <name val="Tahoma"/>
      <family val="2"/>
    </font>
    <font>
      <b/>
      <sz val="9"/>
      <color indexed="8"/>
      <name val="Tahoma"/>
      <family val="2"/>
    </font>
    <font>
      <sz val="9"/>
      <color indexed="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30"/>
      <name val="Arial"/>
      <family val="2"/>
    </font>
    <font>
      <sz val="10"/>
      <color indexed="10"/>
      <name val="Arial"/>
      <family val="2"/>
    </font>
    <font>
      <b/>
      <u val="single"/>
      <sz val="10"/>
      <color indexed="8"/>
      <name val="Arial"/>
      <family val="2"/>
    </font>
    <font>
      <sz val="10"/>
      <color indexed="8"/>
      <name val="Arial"/>
      <family val="2"/>
    </font>
    <font>
      <b/>
      <u val="single"/>
      <sz val="12"/>
      <color indexed="8"/>
      <name val="Arial"/>
      <family val="2"/>
    </font>
    <font>
      <sz val="12"/>
      <color indexed="8"/>
      <name val="Arial"/>
      <family val="2"/>
    </font>
    <font>
      <b/>
      <sz val="10"/>
      <color indexed="8"/>
      <name val="Arial"/>
      <family val="2"/>
    </font>
    <font>
      <b/>
      <i/>
      <u val="single"/>
      <sz val="10"/>
      <color indexed="8"/>
      <name val="Arial"/>
      <family val="2"/>
    </font>
    <font>
      <b/>
      <i/>
      <sz val="10"/>
      <color indexed="8"/>
      <name val="Arial"/>
      <family val="2"/>
    </font>
    <font>
      <u val="single"/>
      <sz val="10"/>
      <color indexed="8"/>
      <name val="Arial"/>
      <family val="2"/>
    </font>
    <font>
      <i/>
      <sz val="10"/>
      <color indexed="30"/>
      <name val="Arial"/>
      <family val="2"/>
    </font>
    <font>
      <b/>
      <sz val="10"/>
      <color indexed="30"/>
      <name val="Arial"/>
      <family val="2"/>
    </font>
    <font>
      <b/>
      <i/>
      <sz val="10"/>
      <color indexed="30"/>
      <name val="Arial"/>
      <family val="2"/>
    </font>
    <font>
      <sz val="11"/>
      <color indexed="12"/>
      <name val="Calibri"/>
      <family val="2"/>
    </font>
    <font>
      <i/>
      <sz val="11"/>
      <color indexed="12"/>
      <name val="Calibri"/>
      <family val="2"/>
    </font>
    <font>
      <b/>
      <sz val="11"/>
      <color indexed="40"/>
      <name val="Calibri"/>
      <family val="2"/>
    </font>
    <font>
      <b/>
      <sz val="12"/>
      <color indexed="10"/>
      <name val="Calibri"/>
      <family val="2"/>
    </font>
    <font>
      <b/>
      <i/>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70C0"/>
      <name val="Arial"/>
      <family val="2"/>
    </font>
    <font>
      <sz val="10"/>
      <color rgb="FFFF0000"/>
      <name val="Arial"/>
      <family val="2"/>
    </font>
    <font>
      <b/>
      <u val="single"/>
      <sz val="10"/>
      <color theme="1"/>
      <name val="Arial"/>
      <family val="2"/>
    </font>
    <font>
      <sz val="10"/>
      <color theme="1"/>
      <name val="Arial"/>
      <family val="2"/>
    </font>
    <font>
      <b/>
      <u val="single"/>
      <sz val="12"/>
      <color theme="1"/>
      <name val="Arial"/>
      <family val="2"/>
    </font>
    <font>
      <sz val="12"/>
      <color theme="1"/>
      <name val="Arial"/>
      <family val="2"/>
    </font>
    <font>
      <b/>
      <sz val="10"/>
      <color theme="1"/>
      <name val="Arial"/>
      <family val="2"/>
    </font>
    <font>
      <b/>
      <i/>
      <u val="single"/>
      <sz val="10"/>
      <color theme="1"/>
      <name val="Arial"/>
      <family val="2"/>
    </font>
    <font>
      <b/>
      <i/>
      <sz val="10"/>
      <color theme="1"/>
      <name val="Arial"/>
      <family val="2"/>
    </font>
    <font>
      <u val="single"/>
      <sz val="10"/>
      <color theme="1"/>
      <name val="Arial"/>
      <family val="2"/>
    </font>
    <font>
      <i/>
      <sz val="10"/>
      <color rgb="FF0070C0"/>
      <name val="Arial"/>
      <family val="2"/>
    </font>
    <font>
      <b/>
      <sz val="10"/>
      <color rgb="FF0070C0"/>
      <name val="Arial"/>
      <family val="2"/>
    </font>
    <font>
      <b/>
      <i/>
      <sz val="10"/>
      <color rgb="FF0070C0"/>
      <name val="Arial"/>
      <family val="2"/>
    </font>
    <font>
      <b/>
      <sz val="10"/>
      <color theme="0"/>
      <name val="Arial"/>
      <family val="2"/>
    </font>
    <font>
      <sz val="11"/>
      <color rgb="FF0000FF"/>
      <name val="Calibri"/>
      <family val="2"/>
    </font>
    <font>
      <i/>
      <sz val="11"/>
      <color rgb="FF0000FF"/>
      <name val="Calibri"/>
      <family val="2"/>
    </font>
    <font>
      <b/>
      <sz val="11"/>
      <color rgb="FF00CCFF"/>
      <name val="Calibri"/>
      <family val="2"/>
    </font>
    <font>
      <b/>
      <sz val="11"/>
      <color rgb="FFFFFFFF"/>
      <name val="Calibri"/>
      <family val="2"/>
    </font>
    <font>
      <b/>
      <sz val="12"/>
      <color rgb="FFFF0000"/>
      <name val="Calibri"/>
      <family val="2"/>
    </font>
    <font>
      <b/>
      <i/>
      <sz val="11"/>
      <color rgb="FFFFFFFF"/>
      <name val="Calibri"/>
      <family val="2"/>
    </font>
    <font>
      <sz val="11"/>
      <color rgb="FFFFFFFF"/>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5"/>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0" tint="-0.24997000396251678"/>
        <bgColor indexed="64"/>
      </patternFill>
    </fill>
    <fill>
      <patternFill patternType="solid">
        <fgColor rgb="FF0070C0"/>
        <bgColor indexed="64"/>
      </patternFill>
    </fill>
    <fill>
      <patternFill patternType="solid">
        <fgColor rgb="FFBFBFBF"/>
        <bgColor indexed="64"/>
      </patternFill>
    </fill>
    <fill>
      <patternFill patternType="solid">
        <fgColor rgb="FFFFFFFF"/>
        <bgColor indexed="64"/>
      </patternFill>
    </fill>
    <fill>
      <patternFill patternType="solid">
        <fgColor rgb="FFFFCC00"/>
        <bgColor indexed="64"/>
      </patternFill>
    </fill>
    <fill>
      <patternFill patternType="solid">
        <fgColor rgb="FFA6A6A6"/>
        <bgColor indexed="64"/>
      </patternFill>
    </fill>
    <fill>
      <patternFill patternType="solid">
        <fgColor rgb="FF0070C0"/>
        <bgColor indexed="64"/>
      </patternFill>
    </fill>
  </fills>
  <borders count="60">
    <border>
      <left/>
      <right/>
      <top/>
      <bottom/>
      <diagonal/>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double"/>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border>
    <border>
      <left style="medium"/>
      <right style="medium"/>
      <top style="medium"/>
      <bottom/>
    </border>
    <border>
      <left>
        <color indexed="63"/>
      </left>
      <right style="medium"/>
      <top style="medium"/>
      <bottom>
        <color indexed="63"/>
      </bottom>
    </border>
    <border>
      <left style="medium"/>
      <right style="medium"/>
      <top/>
      <bottom/>
    </border>
    <border>
      <left>
        <color indexed="63"/>
      </left>
      <right style="medium"/>
      <top>
        <color indexed="63"/>
      </top>
      <bottom>
        <color indexed="63"/>
      </bottom>
    </border>
    <border>
      <left>
        <color indexed="63"/>
      </left>
      <right style="medium"/>
      <top style="thin"/>
      <bottom style="thin"/>
    </border>
    <border>
      <left style="double"/>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bottom style="medium"/>
    </border>
    <border>
      <left>
        <color indexed="63"/>
      </left>
      <right>
        <color indexed="63"/>
      </right>
      <top style="medium"/>
      <bottom>
        <color indexed="63"/>
      </bottom>
    </border>
    <border>
      <left style="thin"/>
      <right style="thin"/>
      <top style="medium"/>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border>
    <border>
      <left style="thin"/>
      <right style="medium"/>
      <top style="medium"/>
      <bottom/>
    </border>
    <border>
      <left style="medium"/>
      <right style="thin"/>
      <top/>
      <bottom/>
    </border>
    <border>
      <left style="thin"/>
      <right style="medium"/>
      <top/>
      <bottom/>
    </border>
    <border>
      <left style="medium"/>
      <right style="thin"/>
      <top/>
      <bottom style="thin"/>
    </border>
    <border>
      <left style="thin"/>
      <right style="medium"/>
      <top/>
      <bottom style="thin"/>
    </border>
    <border>
      <left style="medium"/>
      <right>
        <color indexed="63"/>
      </right>
      <top style="thin"/>
      <bottom style="thin"/>
    </border>
    <border>
      <left style="medium"/>
      <right style="medium"/>
      <top/>
      <bottom style="thin"/>
    </border>
    <border>
      <left style="medium"/>
      <right/>
      <top/>
      <bottom style="medium"/>
    </border>
    <border>
      <left style="medium"/>
      <right style="medium"/>
      <top style="medium"/>
      <bottom style="medium"/>
    </border>
    <border>
      <left/>
      <right style="medium"/>
      <top/>
      <bottom style="medium"/>
    </border>
    <border>
      <left style="double"/>
      <right/>
      <top style="double"/>
      <bottom style="double"/>
    </border>
    <border>
      <left/>
      <right/>
      <top/>
      <bottom style="medium"/>
    </border>
    <border>
      <left style="medium"/>
      <right/>
      <top/>
      <bottom style="thin"/>
    </border>
    <border>
      <left/>
      <right style="medium"/>
      <top/>
      <bottom style="thin"/>
    </border>
    <border>
      <left>
        <color indexed="63"/>
      </left>
      <right style="thin"/>
      <top style="medium"/>
      <botto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0" fillId="0" borderId="0">
      <alignment/>
      <protection/>
    </xf>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11" fillId="0" borderId="0">
      <alignment/>
      <protection/>
    </xf>
    <xf numFmtId="171" fontId="0" fillId="0" borderId="0">
      <alignment/>
      <protection locked="0"/>
    </xf>
    <xf numFmtId="171" fontId="15" fillId="0" borderId="1" applyNumberFormat="0" applyFont="0" applyFill="0" applyBorder="0" applyAlignment="0">
      <protection/>
    </xf>
    <xf numFmtId="172" fontId="11" fillId="0" borderId="0">
      <alignment/>
      <protection/>
    </xf>
    <xf numFmtId="173" fontId="11" fillId="0" borderId="0">
      <alignment/>
      <protection/>
    </xf>
    <xf numFmtId="174" fontId="11" fillId="0" borderId="0">
      <alignment/>
      <protection/>
    </xf>
    <xf numFmtId="175" fontId="11" fillId="0" borderId="1">
      <alignment/>
      <protection/>
    </xf>
    <xf numFmtId="173" fontId="11" fillId="0" borderId="1">
      <alignment/>
      <protection/>
    </xf>
    <xf numFmtId="174" fontId="11" fillId="0" borderId="1">
      <alignment/>
      <protection/>
    </xf>
    <xf numFmtId="176" fontId="11" fillId="0" borderId="0">
      <alignment horizontal="center"/>
      <protection/>
    </xf>
    <xf numFmtId="177" fontId="11" fillId="0" borderId="0">
      <alignment/>
      <protection/>
    </xf>
    <xf numFmtId="178" fontId="11" fillId="0" borderId="0">
      <alignment/>
      <protection/>
    </xf>
    <xf numFmtId="179" fontId="11" fillId="0" borderId="0">
      <alignment/>
      <protection/>
    </xf>
    <xf numFmtId="177" fontId="11" fillId="0" borderId="1">
      <alignment/>
      <protection/>
    </xf>
    <xf numFmtId="178" fontId="11" fillId="0" borderId="1">
      <alignment/>
      <protection/>
    </xf>
    <xf numFmtId="179" fontId="11" fillId="0" borderId="1">
      <alignment/>
      <protection/>
    </xf>
    <xf numFmtId="180" fontId="11" fillId="0" borderId="0">
      <alignment horizontal="right"/>
      <protection locked="0"/>
    </xf>
    <xf numFmtId="181" fontId="11" fillId="0" borderId="0">
      <alignment horizontal="right"/>
      <protection locked="0"/>
    </xf>
    <xf numFmtId="182" fontId="11" fillId="0" borderId="0">
      <alignment/>
      <protection/>
    </xf>
    <xf numFmtId="183" fontId="11" fillId="0" borderId="0">
      <alignment/>
      <protection/>
    </xf>
    <xf numFmtId="184" fontId="11" fillId="0" borderId="0">
      <alignment/>
      <protection/>
    </xf>
    <xf numFmtId="182" fontId="11" fillId="0" borderId="1">
      <alignment/>
      <protection/>
    </xf>
    <xf numFmtId="183" fontId="11" fillId="0" borderId="1">
      <alignment/>
      <protection/>
    </xf>
    <xf numFmtId="184" fontId="11" fillId="0" borderId="1">
      <alignment/>
      <protection/>
    </xf>
    <xf numFmtId="0" fontId="91" fillId="20" borderId="2" applyNumberFormat="0" applyAlignment="0" applyProtection="0"/>
    <xf numFmtId="0" fontId="92" fillId="0" borderId="3" applyNumberFormat="0" applyFill="0" applyAlignment="0" applyProtection="0"/>
    <xf numFmtId="0" fontId="93" fillId="21" borderId="4"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185" fontId="16" fillId="0" borderId="0" applyFont="0" applyFill="0" applyBorder="0" applyAlignment="0" applyProtection="0"/>
    <xf numFmtId="186" fontId="16" fillId="0" borderId="0" applyFont="0" applyFill="0" applyBorder="0" applyAlignment="0" applyProtection="0"/>
    <xf numFmtId="187" fontId="17" fillId="0" borderId="0" applyFont="0" applyFill="0" applyBorder="0" applyAlignment="0" applyProtection="0"/>
    <xf numFmtId="175" fontId="11" fillId="28" borderId="5">
      <alignment/>
      <protection locked="0"/>
    </xf>
    <xf numFmtId="173" fontId="11" fillId="28" borderId="5">
      <alignment/>
      <protection locked="0"/>
    </xf>
    <xf numFmtId="174" fontId="11" fillId="28" borderId="5">
      <alignment/>
      <protection locked="0"/>
    </xf>
    <xf numFmtId="177" fontId="11" fillId="28" borderId="5">
      <alignment/>
      <protection locked="0"/>
    </xf>
    <xf numFmtId="178" fontId="11" fillId="28" borderId="5">
      <alignment/>
      <protection locked="0"/>
    </xf>
    <xf numFmtId="179" fontId="11" fillId="28" borderId="5">
      <alignment/>
      <protection locked="0"/>
    </xf>
    <xf numFmtId="180" fontId="11" fillId="29" borderId="5">
      <alignment horizontal="right"/>
      <protection locked="0"/>
    </xf>
    <xf numFmtId="181" fontId="11" fillId="29" borderId="5">
      <alignment horizontal="right"/>
      <protection locked="0"/>
    </xf>
    <xf numFmtId="0" fontId="11" fillId="30" borderId="5">
      <alignment horizontal="left"/>
      <protection locked="0"/>
    </xf>
    <xf numFmtId="49" fontId="11" fillId="31" borderId="5">
      <alignment horizontal="left" vertical="top" wrapText="1"/>
      <protection locked="0"/>
    </xf>
    <xf numFmtId="182" fontId="11" fillId="28" borderId="5">
      <alignment/>
      <protection locked="0"/>
    </xf>
    <xf numFmtId="183" fontId="11" fillId="28" borderId="5">
      <alignment/>
      <protection locked="0"/>
    </xf>
    <xf numFmtId="184" fontId="11" fillId="28" borderId="5">
      <alignment/>
      <protection locked="0"/>
    </xf>
    <xf numFmtId="49" fontId="11" fillId="31" borderId="5">
      <alignment horizontal="left"/>
      <protection locked="0"/>
    </xf>
    <xf numFmtId="188" fontId="11" fillId="28" borderId="5">
      <alignment horizontal="left" indent="1"/>
      <protection locked="0"/>
    </xf>
    <xf numFmtId="14" fontId="18" fillId="0" borderId="0">
      <alignment horizontal="right"/>
      <protection/>
    </xf>
    <xf numFmtId="189"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2" fontId="9" fillId="0" borderId="0">
      <alignment/>
      <protection/>
    </xf>
    <xf numFmtId="22" fontId="0" fillId="0" borderId="0">
      <alignment/>
      <protection/>
    </xf>
    <xf numFmtId="20" fontId="0" fillId="0" borderId="0">
      <alignment/>
      <protection/>
    </xf>
    <xf numFmtId="0" fontId="19" fillId="32" borderId="0">
      <alignment vertical="center"/>
      <protection/>
    </xf>
    <xf numFmtId="0" fontId="20" fillId="33" borderId="0">
      <alignment vertical="center"/>
      <protection/>
    </xf>
    <xf numFmtId="0" fontId="12" fillId="0" borderId="0">
      <alignment/>
      <protection/>
    </xf>
    <xf numFmtId="193" fontId="21" fillId="0" borderId="0">
      <alignment/>
      <protection/>
    </xf>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7" fontId="0" fillId="0" borderId="0">
      <alignment/>
      <protection/>
    </xf>
    <xf numFmtId="198" fontId="0" fillId="0" borderId="0" applyFont="0" applyFill="0" applyBorder="0" applyAlignment="0" applyProtection="0"/>
    <xf numFmtId="199" fontId="0" fillId="0" borderId="0" applyFont="0" applyFill="0" applyBorder="0" applyAlignment="0" applyProtection="0"/>
    <xf numFmtId="0" fontId="11" fillId="0" borderId="0">
      <alignment/>
      <protection/>
    </xf>
    <xf numFmtId="0" fontId="23" fillId="0" borderId="0">
      <alignment/>
      <protection/>
    </xf>
    <xf numFmtId="0" fontId="24" fillId="0" borderId="0">
      <alignment horizontal="center"/>
      <protection/>
    </xf>
    <xf numFmtId="193" fontId="22" fillId="0" borderId="0">
      <alignment/>
      <protection/>
    </xf>
    <xf numFmtId="43" fontId="0" fillId="0" borderId="0" applyFont="0" applyFill="0" applyBorder="0" applyAlignment="0" applyProtection="0"/>
    <xf numFmtId="200" fontId="25" fillId="0" borderId="0" applyFont="0" applyFill="0" applyBorder="0" applyAlignment="0" applyProtection="0"/>
    <xf numFmtId="171"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6" applyFont="0" applyFill="0" applyBorder="0" applyAlignment="0" applyProtection="0"/>
    <xf numFmtId="0" fontId="94" fillId="34" borderId="0" applyNumberFormat="0" applyBorder="0" applyAlignment="0" applyProtection="0"/>
    <xf numFmtId="3" fontId="18" fillId="0" borderId="0" applyFont="0" applyFill="0" applyBorder="0" applyAlignment="0" applyProtection="0"/>
    <xf numFmtId="0" fontId="0" fillId="0" borderId="0">
      <alignment/>
      <protection/>
    </xf>
    <xf numFmtId="0" fontId="0" fillId="0" borderId="0">
      <alignment/>
      <protection/>
    </xf>
    <xf numFmtId="0" fontId="13" fillId="0" borderId="0">
      <alignment/>
      <protection/>
    </xf>
    <xf numFmtId="0" fontId="0" fillId="35" borderId="7" applyNumberFormat="0" applyFont="0" applyAlignment="0" applyProtection="0"/>
    <xf numFmtId="203" fontId="0" fillId="0" borderId="0">
      <alignment/>
      <protection/>
    </xf>
    <xf numFmtId="166" fontId="26" fillId="0" borderId="0" applyFont="0" applyFill="0" applyBorder="0" applyAlignment="0" applyProtection="0"/>
    <xf numFmtId="0" fontId="95" fillId="20" borderId="8" applyNumberFormat="0" applyAlignment="0" applyProtection="0"/>
    <xf numFmtId="9" fontId="16" fillId="0" borderId="0" applyFont="0" applyFill="0" applyBorder="0" applyAlignment="0" applyProtection="0"/>
    <xf numFmtId="165" fontId="16" fillId="0" borderId="0" applyFont="0" applyFill="0" applyBorder="0" applyAlignment="0" applyProtection="0"/>
    <xf numFmtId="10" fontId="16" fillId="0" borderId="0" applyFont="0" applyFill="0" applyBorder="0" applyAlignment="0" applyProtection="0"/>
    <xf numFmtId="10" fontId="17"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4" fontId="27" fillId="36" borderId="9" applyNumberFormat="0" applyProtection="0">
      <alignment horizontal="left" vertical="center" indent="1"/>
    </xf>
    <xf numFmtId="0" fontId="0" fillId="0" borderId="0" applyNumberFormat="0" applyFont="0" applyFill="0" applyBorder="0" applyAlignment="0">
      <protection locked="0"/>
    </xf>
    <xf numFmtId="193" fontId="28" fillId="0" borderId="0">
      <alignment/>
      <protection/>
    </xf>
    <xf numFmtId="0" fontId="29" fillId="0" borderId="0">
      <alignment/>
      <protection/>
    </xf>
    <xf numFmtId="0" fontId="6" fillId="0" borderId="10" applyNumberFormat="0" applyAlignment="0" applyProtection="0"/>
    <xf numFmtId="204" fontId="0" fillId="0" borderId="0">
      <alignment horizontal="left"/>
      <protection/>
    </xf>
    <xf numFmtId="0" fontId="30" fillId="33" borderId="11">
      <alignment/>
      <protection locked="0"/>
    </xf>
    <xf numFmtId="0" fontId="96" fillId="0" borderId="0" applyNumberFormat="0" applyFill="0" applyBorder="0" applyAlignment="0" applyProtection="0"/>
    <xf numFmtId="0" fontId="97" fillId="0" borderId="0" applyNumberFormat="0" applyFill="0" applyBorder="0" applyAlignment="0" applyProtection="0"/>
    <xf numFmtId="0" fontId="31" fillId="0" borderId="0">
      <alignment horizontal="center"/>
      <protection/>
    </xf>
    <xf numFmtId="15" fontId="31" fillId="0" borderId="0">
      <alignment horizontal="center"/>
      <protection/>
    </xf>
    <xf numFmtId="0" fontId="1" fillId="0" borderId="12" applyNumberFormat="0" applyAlignment="0" applyProtection="0"/>
    <xf numFmtId="0" fontId="32" fillId="33" borderId="0">
      <alignment/>
      <protection/>
    </xf>
    <xf numFmtId="0" fontId="33" fillId="0" borderId="0">
      <alignment/>
      <protection/>
    </xf>
    <xf numFmtId="0" fontId="98" fillId="0" borderId="0" applyNumberFormat="0" applyFill="0" applyBorder="0" applyAlignment="0" applyProtection="0"/>
    <xf numFmtId="0" fontId="99" fillId="0" borderId="13" applyNumberFormat="0" applyFill="0" applyAlignment="0" applyProtection="0"/>
    <xf numFmtId="0" fontId="100" fillId="0" borderId="14" applyNumberFormat="0" applyFill="0" applyAlignment="0" applyProtection="0"/>
    <xf numFmtId="0" fontId="101" fillId="0" borderId="15" applyNumberFormat="0" applyFill="0" applyAlignment="0" applyProtection="0"/>
    <xf numFmtId="0" fontId="101" fillId="0" borderId="0" applyNumberFormat="0" applyFill="0" applyBorder="0" applyAlignment="0" applyProtection="0"/>
    <xf numFmtId="0" fontId="102" fillId="0" borderId="16" applyNumberFormat="0" applyFill="0" applyAlignment="0" applyProtection="0"/>
    <xf numFmtId="0" fontId="103" fillId="37" borderId="0" applyNumberFormat="0" applyBorder="0" applyAlignment="0" applyProtection="0"/>
    <xf numFmtId="0" fontId="104" fillId="38" borderId="0" applyNumberFormat="0" applyBorder="0" applyAlignment="0" applyProtection="0"/>
    <xf numFmtId="44" fontId="0" fillId="0" borderId="0" applyFont="0" applyFill="0" applyBorder="0" applyAlignment="0" applyProtection="0"/>
    <xf numFmtId="205" fontId="0" fillId="0" borderId="0" applyFont="0" applyFill="0" applyBorder="0" applyAlignment="0" applyProtection="0"/>
    <xf numFmtId="42" fontId="0" fillId="0" borderId="0" applyFont="0" applyFill="0" applyBorder="0" applyAlignment="0" applyProtection="0"/>
  </cellStyleXfs>
  <cellXfs count="772">
    <xf numFmtId="0" fontId="0" fillId="0" borderId="0" xfId="0" applyAlignment="1">
      <alignment/>
    </xf>
    <xf numFmtId="0" fontId="1" fillId="0" borderId="0" xfId="0" applyFont="1" applyAlignment="1">
      <alignment/>
    </xf>
    <xf numFmtId="0" fontId="6" fillId="0" borderId="0" xfId="0" applyFont="1" applyAlignment="1">
      <alignment/>
    </xf>
    <xf numFmtId="0" fontId="0" fillId="0" borderId="0" xfId="0" applyFont="1" applyFill="1" applyAlignment="1">
      <alignment/>
    </xf>
    <xf numFmtId="0" fontId="1" fillId="0" borderId="0" xfId="0" applyFont="1" applyFill="1" applyAlignment="1">
      <alignment/>
    </xf>
    <xf numFmtId="3" fontId="4" fillId="0" borderId="0" xfId="0" applyNumberFormat="1" applyFont="1" applyAlignment="1">
      <alignment/>
    </xf>
    <xf numFmtId="3" fontId="1" fillId="0" borderId="0" xfId="0" applyNumberFormat="1" applyFont="1" applyAlignment="1">
      <alignment/>
    </xf>
    <xf numFmtId="3" fontId="4" fillId="0" borderId="0" xfId="0" applyNumberFormat="1" applyFont="1" applyFill="1" applyAlignment="1">
      <alignment/>
    </xf>
    <xf numFmtId="3" fontId="0" fillId="0" borderId="0" xfId="0" applyNumberFormat="1" applyFont="1" applyAlignment="1">
      <alignment/>
    </xf>
    <xf numFmtId="3" fontId="0"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ont="1" applyFill="1" applyAlignment="1">
      <alignment horizontal="left"/>
    </xf>
    <xf numFmtId="0" fontId="0" fillId="0" borderId="0" xfId="0" applyFont="1" applyAlignment="1">
      <alignment/>
    </xf>
    <xf numFmtId="0" fontId="4" fillId="0" borderId="0" xfId="0" applyNumberFormat="1" applyFont="1" applyFill="1" applyAlignment="1">
      <alignment/>
    </xf>
    <xf numFmtId="0" fontId="0" fillId="0" borderId="0" xfId="0" applyFont="1" applyFill="1" applyAlignment="1">
      <alignment vertical="center"/>
    </xf>
    <xf numFmtId="0" fontId="7" fillId="0" borderId="0" xfId="0" applyFont="1" applyAlignment="1">
      <alignment/>
    </xf>
    <xf numFmtId="0" fontId="10" fillId="0" borderId="0" xfId="0" applyFont="1" applyAlignment="1">
      <alignment/>
    </xf>
    <xf numFmtId="3" fontId="10" fillId="0" borderId="0" xfId="0" applyNumberFormat="1" applyFont="1" applyAlignment="1">
      <alignment/>
    </xf>
    <xf numFmtId="0" fontId="0" fillId="0" borderId="0" xfId="0" applyFont="1" applyBorder="1" applyAlignment="1">
      <alignment/>
    </xf>
    <xf numFmtId="3" fontId="10" fillId="0" borderId="0" xfId="0" applyNumberFormat="1" applyFont="1" applyFill="1" applyBorder="1" applyAlignment="1">
      <alignment/>
    </xf>
    <xf numFmtId="3" fontId="14" fillId="0" borderId="0" xfId="0" applyNumberFormat="1" applyFont="1" applyFill="1" applyAlignment="1">
      <alignment/>
    </xf>
    <xf numFmtId="0" fontId="10" fillId="0" borderId="0" xfId="0" applyFont="1" applyFill="1" applyAlignment="1">
      <alignment vertical="center"/>
    </xf>
    <xf numFmtId="3" fontId="10" fillId="0" borderId="0" xfId="0" applyNumberFormat="1" applyFont="1" applyFill="1" applyAlignment="1">
      <alignment/>
    </xf>
    <xf numFmtId="3" fontId="6" fillId="0" borderId="0" xfId="0" applyNumberFormat="1" applyFont="1" applyFill="1" applyBorder="1" applyAlignment="1">
      <alignment/>
    </xf>
    <xf numFmtId="3" fontId="1" fillId="0" borderId="0" xfId="109"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Alignment="1">
      <alignment/>
    </xf>
    <xf numFmtId="3" fontId="34"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3" fontId="4" fillId="0" borderId="0" xfId="0" applyNumberFormat="1" applyFont="1" applyAlignment="1">
      <alignment/>
    </xf>
    <xf numFmtId="3" fontId="1" fillId="0" borderId="0" xfId="0" applyNumberFormat="1" applyFont="1" applyAlignment="1">
      <alignment/>
    </xf>
    <xf numFmtId="0" fontId="0" fillId="0" borderId="0" xfId="0" applyNumberFormat="1" applyFont="1" applyAlignment="1">
      <alignment vertical="center"/>
    </xf>
    <xf numFmtId="3" fontId="4"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1" fillId="0" borderId="0" xfId="0" applyNumberFormat="1" applyFont="1" applyFill="1" applyAlignment="1">
      <alignment/>
    </xf>
    <xf numFmtId="0" fontId="0" fillId="0" borderId="0" xfId="0" applyNumberFormat="1" applyFont="1" applyBorder="1" applyAlignment="1">
      <alignment vertical="center"/>
    </xf>
    <xf numFmtId="3" fontId="1"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quotePrefix="1">
      <alignment/>
    </xf>
    <xf numFmtId="0" fontId="0" fillId="0" borderId="0" xfId="0" applyNumberFormat="1" applyFont="1" applyAlignment="1">
      <alignment vertical="center"/>
    </xf>
    <xf numFmtId="0" fontId="0"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16" fontId="0" fillId="0" borderId="0" xfId="0" applyNumberFormat="1" applyFont="1" applyFill="1" applyBorder="1" applyAlignment="1">
      <alignment/>
    </xf>
    <xf numFmtId="167" fontId="1" fillId="0" borderId="0" xfId="0" applyNumberFormat="1" applyFont="1" applyFill="1" applyBorder="1" applyAlignment="1">
      <alignment horizontal="center" vertical="center"/>
    </xf>
    <xf numFmtId="3" fontId="10" fillId="0" borderId="0" xfId="0" applyNumberFormat="1"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3" fontId="6" fillId="0" borderId="0" xfId="109" applyNumberFormat="1" applyFont="1" applyFill="1" applyBorder="1" applyAlignment="1">
      <alignment/>
    </xf>
    <xf numFmtId="3" fontId="1" fillId="0" borderId="0" xfId="109"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3" fontId="6" fillId="0" borderId="0" xfId="109" applyNumberFormat="1" applyFont="1" applyFill="1" applyBorder="1" applyAlignment="1">
      <alignment vertical="center"/>
    </xf>
    <xf numFmtId="3" fontId="10" fillId="0" borderId="0" xfId="109" applyNumberFormat="1" applyFont="1" applyFill="1" applyBorder="1" applyAlignment="1">
      <alignment/>
    </xf>
    <xf numFmtId="0" fontId="6" fillId="0" borderId="0" xfId="0" applyFont="1" applyFill="1" applyBorder="1" applyAlignment="1">
      <alignment vertical="center"/>
    </xf>
    <xf numFmtId="3" fontId="0" fillId="0" borderId="0" xfId="109" applyNumberFormat="1" applyFont="1" applyFill="1" applyBorder="1" applyAlignment="1">
      <alignment/>
    </xf>
    <xf numFmtId="3" fontId="1"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164" fontId="0" fillId="0" borderId="0" xfId="109" applyNumberFormat="1" applyFont="1" applyFill="1" applyBorder="1" applyAlignment="1">
      <alignment/>
    </xf>
    <xf numFmtId="0" fontId="0" fillId="0" borderId="0" xfId="0" applyFont="1" applyBorder="1" applyAlignment="1">
      <alignment/>
    </xf>
    <xf numFmtId="3" fontId="0"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0" fillId="0" borderId="17" xfId="0" applyNumberFormat="1" applyFont="1" applyBorder="1" applyAlignment="1">
      <alignment/>
    </xf>
    <xf numFmtId="3" fontId="8" fillId="0" borderId="0" xfId="0" applyNumberFormat="1" applyFont="1" applyFill="1" applyBorder="1" applyAlignment="1">
      <alignment/>
    </xf>
    <xf numFmtId="3" fontId="8" fillId="0" borderId="0" xfId="0" applyNumberFormat="1" applyFont="1" applyBorder="1" applyAlignment="1">
      <alignment/>
    </xf>
    <xf numFmtId="3" fontId="8" fillId="0" borderId="18" xfId="0" applyNumberFormat="1" applyFont="1" applyBorder="1" applyAlignment="1">
      <alignment/>
    </xf>
    <xf numFmtId="3" fontId="1" fillId="33" borderId="0" xfId="0" applyNumberFormat="1" applyFont="1" applyFill="1" applyBorder="1" applyAlignment="1">
      <alignment/>
    </xf>
    <xf numFmtId="3" fontId="1" fillId="33" borderId="18" xfId="0" applyNumberFormat="1" applyFont="1" applyFill="1" applyBorder="1" applyAlignment="1">
      <alignment/>
    </xf>
    <xf numFmtId="3" fontId="0" fillId="0" borderId="0" xfId="0" applyNumberFormat="1" applyFont="1" applyBorder="1" applyAlignment="1">
      <alignment/>
    </xf>
    <xf numFmtId="3" fontId="0" fillId="0" borderId="18" xfId="0" applyNumberFormat="1" applyFont="1" applyBorder="1" applyAlignment="1">
      <alignment/>
    </xf>
    <xf numFmtId="3" fontId="0" fillId="0" borderId="18" xfId="0" applyNumberFormat="1" applyFont="1" applyFill="1" applyBorder="1" applyAlignment="1">
      <alignment/>
    </xf>
    <xf numFmtId="3" fontId="8" fillId="0" borderId="18" xfId="0" applyNumberFormat="1" applyFont="1" applyFill="1" applyBorder="1" applyAlignment="1">
      <alignment/>
    </xf>
    <xf numFmtId="3" fontId="1" fillId="33" borderId="19" xfId="0" applyNumberFormat="1" applyFont="1" applyFill="1" applyBorder="1" applyAlignment="1">
      <alignment/>
    </xf>
    <xf numFmtId="3" fontId="10" fillId="0" borderId="19" xfId="0" applyNumberFormat="1" applyFont="1" applyFill="1" applyBorder="1" applyAlignment="1">
      <alignment/>
    </xf>
    <xf numFmtId="3" fontId="1" fillId="0" borderId="0" xfId="0" applyNumberFormat="1" applyFont="1" applyFill="1" applyBorder="1" applyAlignment="1">
      <alignment horizontal="center"/>
    </xf>
    <xf numFmtId="3" fontId="1" fillId="0" borderId="17" xfId="0" applyNumberFormat="1" applyFont="1" applyFill="1" applyBorder="1" applyAlignment="1">
      <alignment/>
    </xf>
    <xf numFmtId="3" fontId="1" fillId="0" borderId="18" xfId="0" applyNumberFormat="1" applyFont="1" applyFill="1" applyBorder="1" applyAlignment="1">
      <alignment/>
    </xf>
    <xf numFmtId="3" fontId="0" fillId="0" borderId="17" xfId="0" applyNumberFormat="1" applyFont="1" applyFill="1" applyBorder="1" applyAlignment="1">
      <alignment/>
    </xf>
    <xf numFmtId="3" fontId="0" fillId="0" borderId="18" xfId="0" applyNumberFormat="1" applyFont="1" applyFill="1" applyBorder="1" applyAlignment="1">
      <alignment/>
    </xf>
    <xf numFmtId="3" fontId="1" fillId="33" borderId="0" xfId="109" applyNumberFormat="1" applyFont="1" applyFill="1" applyBorder="1" applyAlignment="1">
      <alignment/>
    </xf>
    <xf numFmtId="3" fontId="1" fillId="33" borderId="18" xfId="109" applyNumberFormat="1" applyFont="1" applyFill="1" applyBorder="1" applyAlignment="1">
      <alignment/>
    </xf>
    <xf numFmtId="0" fontId="0" fillId="0" borderId="17" xfId="0" applyFont="1" applyFill="1" applyBorder="1" applyAlignment="1">
      <alignment/>
    </xf>
    <xf numFmtId="3" fontId="8" fillId="0" borderId="0" xfId="109" applyNumberFormat="1" applyFont="1" applyFill="1" applyBorder="1" applyAlignment="1">
      <alignment vertical="center"/>
    </xf>
    <xf numFmtId="0" fontId="0" fillId="0" borderId="0" xfId="0" applyFont="1" applyBorder="1" applyAlignment="1">
      <alignment/>
    </xf>
    <xf numFmtId="0" fontId="0" fillId="0" borderId="17" xfId="0" applyFont="1" applyFill="1" applyBorder="1" applyAlignment="1">
      <alignment/>
    </xf>
    <xf numFmtId="3" fontId="1" fillId="33"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33" borderId="18" xfId="0" applyNumberFormat="1" applyFont="1" applyFill="1" applyBorder="1" applyAlignment="1">
      <alignment horizontal="right"/>
    </xf>
    <xf numFmtId="0" fontId="0" fillId="0" borderId="18" xfId="0" applyFont="1" applyFill="1" applyBorder="1" applyAlignment="1">
      <alignment/>
    </xf>
    <xf numFmtId="3" fontId="1" fillId="33" borderId="0" xfId="109" applyNumberFormat="1" applyFont="1" applyFill="1" applyBorder="1" applyAlignment="1">
      <alignment horizontal="right"/>
    </xf>
    <xf numFmtId="3" fontId="1" fillId="33" borderId="18" xfId="109" applyNumberFormat="1" applyFont="1" applyFill="1" applyBorder="1" applyAlignment="1">
      <alignment horizontal="right"/>
    </xf>
    <xf numFmtId="0" fontId="5"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right"/>
    </xf>
    <xf numFmtId="0" fontId="0" fillId="0" borderId="18" xfId="0" applyFont="1" applyFill="1" applyBorder="1" applyAlignment="1">
      <alignment/>
    </xf>
    <xf numFmtId="0" fontId="0" fillId="0" borderId="0" xfId="0" applyFont="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0" fillId="0" borderId="0" xfId="0" applyFont="1" applyFill="1" applyBorder="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vertical="center"/>
    </xf>
    <xf numFmtId="0" fontId="0" fillId="0" borderId="18" xfId="0" applyNumberFormat="1" applyFont="1" applyBorder="1" applyAlignment="1">
      <alignment vertical="center"/>
    </xf>
    <xf numFmtId="3" fontId="1" fillId="33" borderId="19" xfId="0" applyNumberFormat="1" applyFont="1" applyFill="1" applyBorder="1" applyAlignment="1">
      <alignment vertical="center"/>
    </xf>
    <xf numFmtId="3" fontId="1" fillId="33" borderId="20" xfId="0" applyNumberFormat="1" applyFont="1" applyFill="1" applyBorder="1" applyAlignment="1">
      <alignment vertical="center"/>
    </xf>
    <xf numFmtId="3" fontId="0" fillId="0" borderId="0" xfId="109"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3" fontId="0" fillId="0" borderId="0" xfId="109" applyNumberFormat="1" applyFont="1" applyFill="1" applyBorder="1" applyAlignment="1">
      <alignment vertical="center"/>
    </xf>
    <xf numFmtId="3" fontId="10" fillId="0" borderId="0" xfId="109" applyNumberFormat="1" applyFont="1" applyFill="1" applyBorder="1" applyAlignment="1">
      <alignment vertical="center"/>
    </xf>
    <xf numFmtId="0" fontId="1" fillId="0" borderId="0" xfId="0" applyNumberFormat="1" applyFont="1" applyFill="1" applyBorder="1" applyAlignment="1">
      <alignment horizontal="center" vertical="center" wrapText="1"/>
    </xf>
    <xf numFmtId="0" fontId="0" fillId="0" borderId="18" xfId="0" applyFont="1" applyBorder="1" applyAlignment="1">
      <alignment/>
    </xf>
    <xf numFmtId="3" fontId="0" fillId="0" borderId="0" xfId="0" applyNumberFormat="1" applyFont="1" applyBorder="1" applyAlignment="1">
      <alignment/>
    </xf>
    <xf numFmtId="3" fontId="1" fillId="33" borderId="19" xfId="0" applyNumberFormat="1" applyFont="1" applyFill="1" applyBorder="1" applyAlignment="1">
      <alignment/>
    </xf>
    <xf numFmtId="3" fontId="1" fillId="33" borderId="20" xfId="0" applyNumberFormat="1" applyFont="1" applyFill="1" applyBorder="1" applyAlignment="1">
      <alignment/>
    </xf>
    <xf numFmtId="3" fontId="7" fillId="0" borderId="0" xfId="0" applyNumberFormat="1" applyFont="1" applyAlignment="1">
      <alignment/>
    </xf>
    <xf numFmtId="3" fontId="35" fillId="0" borderId="0" xfId="0" applyNumberFormat="1" applyFont="1" applyAlignment="1">
      <alignment/>
    </xf>
    <xf numFmtId="0" fontId="7" fillId="0" borderId="0" xfId="0" applyFont="1" applyFill="1" applyBorder="1" applyAlignment="1">
      <alignment/>
    </xf>
    <xf numFmtId="0" fontId="0" fillId="0" borderId="0" xfId="0" applyFont="1" applyFill="1" applyBorder="1" applyAlignment="1">
      <alignment horizontal="left"/>
    </xf>
    <xf numFmtId="3" fontId="6" fillId="0" borderId="18" xfId="0" applyNumberFormat="1" applyFont="1" applyFill="1" applyBorder="1" applyAlignment="1">
      <alignment/>
    </xf>
    <xf numFmtId="3" fontId="6" fillId="0" borderId="18" xfId="0" applyNumberFormat="1" applyFont="1" applyFill="1" applyBorder="1" applyAlignment="1">
      <alignment vertical="center"/>
    </xf>
    <xf numFmtId="3" fontId="1" fillId="0" borderId="18" xfId="0" applyNumberFormat="1" applyFont="1" applyFill="1" applyBorder="1" applyAlignment="1">
      <alignment vertical="center"/>
    </xf>
    <xf numFmtId="3" fontId="6" fillId="0" borderId="20" xfId="0" applyNumberFormat="1" applyFont="1" applyFill="1" applyBorder="1" applyAlignment="1">
      <alignment vertical="center"/>
    </xf>
    <xf numFmtId="167" fontId="4" fillId="39" borderId="21" xfId="0" applyNumberFormat="1" applyFont="1" applyFill="1" applyBorder="1" applyAlignment="1">
      <alignment horizontal="center" vertical="center"/>
    </xf>
    <xf numFmtId="167" fontId="0" fillId="0" borderId="22" xfId="0" applyNumberFormat="1" applyFont="1" applyFill="1" applyBorder="1" applyAlignment="1">
      <alignment horizontal="left"/>
    </xf>
    <xf numFmtId="167" fontId="10" fillId="0" borderId="22" xfId="0" applyNumberFormat="1" applyFont="1" applyFill="1" applyBorder="1" applyAlignment="1">
      <alignment horizontal="left"/>
    </xf>
    <xf numFmtId="0" fontId="6" fillId="0" borderId="22" xfId="0" applyFont="1" applyFill="1" applyBorder="1" applyAlignment="1">
      <alignment/>
    </xf>
    <xf numFmtId="0" fontId="0" fillId="0" borderId="22" xfId="0" applyFont="1" applyFill="1" applyBorder="1" applyAlignment="1">
      <alignment/>
    </xf>
    <xf numFmtId="0" fontId="1" fillId="0" borderId="22" xfId="0" applyFont="1" applyFill="1" applyBorder="1" applyAlignment="1">
      <alignment/>
    </xf>
    <xf numFmtId="0" fontId="6" fillId="0" borderId="22" xfId="0" applyFont="1" applyFill="1" applyBorder="1" applyAlignment="1">
      <alignment vertical="center"/>
    </xf>
    <xf numFmtId="0" fontId="0" fillId="0" borderId="22" xfId="0" applyFont="1" applyFill="1" applyBorder="1" applyAlignment="1">
      <alignment/>
    </xf>
    <xf numFmtId="0" fontId="0" fillId="0" borderId="22" xfId="0" applyFont="1" applyFill="1" applyBorder="1" applyAlignment="1">
      <alignment vertical="center"/>
    </xf>
    <xf numFmtId="0" fontId="1" fillId="0" borderId="22" xfId="0" applyFont="1" applyFill="1" applyBorder="1" applyAlignment="1">
      <alignment vertical="center"/>
    </xf>
    <xf numFmtId="0" fontId="6" fillId="0" borderId="23" xfId="0" applyFont="1" applyFill="1" applyBorder="1" applyAlignment="1">
      <alignment vertical="center"/>
    </xf>
    <xf numFmtId="167" fontId="1" fillId="0" borderId="17" xfId="0" applyNumberFormat="1" applyFont="1" applyFill="1" applyBorder="1" applyAlignment="1">
      <alignment horizontal="center" vertical="center"/>
    </xf>
    <xf numFmtId="167" fontId="1" fillId="0" borderId="18" xfId="0" applyNumberFormat="1" applyFont="1" applyFill="1" applyBorder="1" applyAlignment="1">
      <alignment horizontal="center" vertical="center"/>
    </xf>
    <xf numFmtId="3" fontId="1" fillId="0" borderId="17" xfId="109" applyNumberFormat="1" applyFont="1" applyFill="1" applyBorder="1" applyAlignment="1">
      <alignment/>
    </xf>
    <xf numFmtId="3" fontId="1" fillId="0" borderId="18" xfId="109" applyNumberFormat="1" applyFont="1" applyFill="1" applyBorder="1" applyAlignment="1">
      <alignment/>
    </xf>
    <xf numFmtId="3" fontId="6" fillId="0" borderId="17" xfId="109" applyNumberFormat="1" applyFont="1" applyFill="1" applyBorder="1" applyAlignment="1">
      <alignment vertical="center"/>
    </xf>
    <xf numFmtId="3" fontId="1" fillId="0" borderId="17" xfId="109" applyNumberFormat="1" applyFont="1" applyFill="1" applyBorder="1" applyAlignment="1">
      <alignment vertical="center"/>
    </xf>
    <xf numFmtId="3" fontId="6" fillId="0" borderId="17" xfId="0" applyNumberFormat="1" applyFont="1" applyFill="1" applyBorder="1" applyAlignment="1">
      <alignment/>
    </xf>
    <xf numFmtId="3" fontId="1" fillId="0" borderId="19" xfId="109" applyNumberFormat="1" applyFont="1" applyFill="1" applyBorder="1" applyAlignment="1">
      <alignment vertical="center"/>
    </xf>
    <xf numFmtId="3" fontId="0" fillId="0" borderId="17" xfId="109" applyNumberFormat="1" applyFont="1" applyFill="1" applyBorder="1" applyAlignment="1">
      <alignment/>
    </xf>
    <xf numFmtId="3" fontId="1" fillId="0" borderId="24" xfId="109" applyNumberFormat="1" applyFont="1" applyFill="1" applyBorder="1" applyAlignment="1">
      <alignment vertical="center"/>
    </xf>
    <xf numFmtId="3" fontId="10" fillId="0" borderId="19" xfId="109" applyNumberFormat="1" applyFont="1" applyFill="1" applyBorder="1" applyAlignment="1">
      <alignment vertical="center"/>
    </xf>
    <xf numFmtId="0" fontId="6" fillId="0" borderId="18" xfId="0" applyFont="1" applyFill="1" applyBorder="1" applyAlignment="1">
      <alignment vertical="center"/>
    </xf>
    <xf numFmtId="3" fontId="0" fillId="0" borderId="19" xfId="109" applyNumberFormat="1" applyFont="1" applyFill="1" applyBorder="1" applyAlignment="1">
      <alignment/>
    </xf>
    <xf numFmtId="3" fontId="6" fillId="0" borderId="19" xfId="109" applyNumberFormat="1" applyFont="1" applyFill="1" applyBorder="1" applyAlignment="1">
      <alignment/>
    </xf>
    <xf numFmtId="167" fontId="0" fillId="0" borderId="22" xfId="0" applyNumberFormat="1" applyFont="1" applyFill="1" applyBorder="1" applyAlignment="1">
      <alignment horizontal="left" vertical="center"/>
    </xf>
    <xf numFmtId="0" fontId="10" fillId="0" borderId="22" xfId="0" applyFont="1" applyFill="1" applyBorder="1" applyAlignment="1">
      <alignment/>
    </xf>
    <xf numFmtId="0" fontId="0" fillId="0" borderId="22" xfId="0" applyFont="1" applyBorder="1" applyAlignment="1">
      <alignment/>
    </xf>
    <xf numFmtId="0" fontId="10" fillId="0" borderId="22" xfId="0" applyFont="1" applyFill="1" applyBorder="1" applyAlignment="1">
      <alignment vertical="center"/>
    </xf>
    <xf numFmtId="0" fontId="10" fillId="0" borderId="0" xfId="0" applyFont="1" applyFill="1" applyBorder="1" applyAlignment="1">
      <alignment/>
    </xf>
    <xf numFmtId="0" fontId="10" fillId="0" borderId="22" xfId="0" applyFont="1" applyFill="1" applyBorder="1" applyAlignment="1">
      <alignment vertical="center"/>
    </xf>
    <xf numFmtId="3" fontId="10" fillId="0" borderId="0" xfId="109" applyNumberFormat="1" applyFont="1" applyFill="1" applyBorder="1" applyAlignment="1">
      <alignment/>
    </xf>
    <xf numFmtId="3" fontId="10" fillId="0" borderId="17" xfId="109" applyNumberFormat="1" applyFont="1" applyFill="1" applyBorder="1" applyAlignment="1">
      <alignment/>
    </xf>
    <xf numFmtId="3" fontId="10" fillId="0" borderId="18" xfId="0" applyNumberFormat="1" applyFont="1" applyFill="1" applyBorder="1" applyAlignment="1">
      <alignment/>
    </xf>
    <xf numFmtId="0" fontId="10" fillId="0" borderId="23" xfId="0" applyFont="1" applyFill="1" applyBorder="1" applyAlignment="1">
      <alignment/>
    </xf>
    <xf numFmtId="0" fontId="0" fillId="0" borderId="0" xfId="0" applyFont="1" applyFill="1" applyBorder="1" applyAlignment="1">
      <alignment/>
    </xf>
    <xf numFmtId="3" fontId="36" fillId="0" borderId="18" xfId="0" applyNumberFormat="1" applyFont="1" applyFill="1" applyBorder="1" applyAlignment="1">
      <alignment/>
    </xf>
    <xf numFmtId="3" fontId="36" fillId="0" borderId="0" xfId="0" applyNumberFormat="1" applyFont="1" applyFill="1" applyBorder="1" applyAlignment="1">
      <alignment/>
    </xf>
    <xf numFmtId="3" fontId="1" fillId="0" borderId="17" xfId="109" applyNumberFormat="1" applyFont="1" applyFill="1" applyBorder="1" applyAlignment="1">
      <alignment/>
    </xf>
    <xf numFmtId="3" fontId="0" fillId="0" borderId="1" xfId="0" applyNumberFormat="1" applyFont="1" applyBorder="1" applyAlignment="1">
      <alignment/>
    </xf>
    <xf numFmtId="0" fontId="0" fillId="0" borderId="22" xfId="0" applyFont="1" applyFill="1" applyBorder="1" applyAlignment="1">
      <alignment/>
    </xf>
    <xf numFmtId="208" fontId="0" fillId="0" borderId="0" xfId="0" applyNumberFormat="1" applyFont="1" applyFill="1" applyBorder="1" applyAlignment="1">
      <alignment/>
    </xf>
    <xf numFmtId="3" fontId="105" fillId="0" borderId="0" xfId="109" applyNumberFormat="1" applyFont="1" applyFill="1" applyBorder="1" applyAlignment="1">
      <alignment/>
    </xf>
    <xf numFmtId="3" fontId="105" fillId="0" borderId="0" xfId="109" applyNumberFormat="1" applyFont="1" applyFill="1" applyBorder="1" applyAlignment="1">
      <alignment horizontal="right"/>
    </xf>
    <xf numFmtId="3" fontId="105" fillId="0" borderId="0" xfId="109" applyNumberFormat="1" applyFont="1" applyFill="1" applyBorder="1" applyAlignment="1">
      <alignment vertical="center"/>
    </xf>
    <xf numFmtId="3" fontId="106" fillId="0" borderId="0" xfId="0" applyNumberFormat="1" applyFont="1" applyAlignment="1">
      <alignment/>
    </xf>
    <xf numFmtId="3" fontId="1" fillId="40" borderId="0" xfId="0" applyNumberFormat="1" applyFont="1" applyFill="1" applyBorder="1" applyAlignment="1">
      <alignment/>
    </xf>
    <xf numFmtId="3" fontId="1" fillId="40" borderId="18" xfId="0" applyNumberFormat="1" applyFont="1" applyFill="1" applyBorder="1" applyAlignment="1">
      <alignment/>
    </xf>
    <xf numFmtId="3" fontId="1" fillId="40" borderId="19" xfId="0" applyNumberFormat="1" applyFont="1" applyFill="1" applyBorder="1" applyAlignment="1">
      <alignment/>
    </xf>
    <xf numFmtId="3" fontId="1" fillId="40" borderId="20" xfId="0" applyNumberFormat="1" applyFont="1" applyFill="1" applyBorder="1" applyAlignment="1">
      <alignment/>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7" fontId="1" fillId="0" borderId="25"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xf>
    <xf numFmtId="167" fontId="1" fillId="0" borderId="26" xfId="0" applyNumberFormat="1" applyFont="1" applyFill="1" applyBorder="1" applyAlignment="1">
      <alignment horizontal="center" vertical="center"/>
    </xf>
    <xf numFmtId="0" fontId="0" fillId="0" borderId="25" xfId="0" applyFont="1" applyFill="1" applyBorder="1" applyAlignment="1">
      <alignment/>
    </xf>
    <xf numFmtId="0" fontId="0" fillId="0" borderId="1" xfId="0" applyFont="1" applyFill="1" applyBorder="1" applyAlignment="1">
      <alignment/>
    </xf>
    <xf numFmtId="0" fontId="0" fillId="0" borderId="26" xfId="0" applyFont="1" applyFill="1" applyBorder="1" applyAlignment="1">
      <alignment/>
    </xf>
    <xf numFmtId="3" fontId="0" fillId="0" borderId="18" xfId="0" applyNumberFormat="1" applyFont="1" applyFill="1" applyBorder="1" applyAlignment="1">
      <alignment horizontal="right"/>
    </xf>
    <xf numFmtId="3" fontId="107" fillId="0" borderId="0" xfId="0" applyNumberFormat="1" applyFont="1" applyAlignment="1">
      <alignment/>
    </xf>
    <xf numFmtId="3" fontId="108" fillId="0" borderId="0" xfId="0" applyNumberFormat="1" applyFont="1" applyAlignment="1">
      <alignment/>
    </xf>
    <xf numFmtId="3" fontId="108" fillId="0" borderId="0" xfId="0" applyNumberFormat="1" applyFont="1" applyFill="1" applyAlignment="1">
      <alignment/>
    </xf>
    <xf numFmtId="3" fontId="109" fillId="0" borderId="0" xfId="0" applyNumberFormat="1" applyFont="1" applyAlignment="1">
      <alignment/>
    </xf>
    <xf numFmtId="3" fontId="110" fillId="0" borderId="0" xfId="0" applyNumberFormat="1" applyFont="1" applyAlignment="1">
      <alignment/>
    </xf>
    <xf numFmtId="3" fontId="110" fillId="0" borderId="0" xfId="0" applyNumberFormat="1" applyFont="1" applyFill="1" applyAlignment="1">
      <alignment/>
    </xf>
    <xf numFmtId="3" fontId="107" fillId="0" borderId="0" xfId="0" applyNumberFormat="1" applyFont="1" applyFill="1" applyAlignment="1">
      <alignment/>
    </xf>
    <xf numFmtId="3" fontId="111" fillId="0" borderId="1" xfId="0" applyNumberFormat="1" applyFont="1" applyFill="1" applyBorder="1" applyAlignment="1">
      <alignment horizontal="center"/>
    </xf>
    <xf numFmtId="3" fontId="111" fillId="0" borderId="0" xfId="0" applyNumberFormat="1" applyFont="1" applyFill="1" applyBorder="1" applyAlignment="1">
      <alignment horizontal="center"/>
    </xf>
    <xf numFmtId="3" fontId="108" fillId="0" borderId="0" xfId="0" applyNumberFormat="1" applyFont="1" applyBorder="1" applyAlignment="1">
      <alignment/>
    </xf>
    <xf numFmtId="3" fontId="108" fillId="0" borderId="0" xfId="0" applyNumberFormat="1" applyFont="1" applyFill="1" applyAlignment="1">
      <alignment horizontal="left"/>
    </xf>
    <xf numFmtId="3" fontId="111" fillId="0" borderId="0" xfId="0" applyNumberFormat="1" applyFont="1" applyFill="1" applyBorder="1" applyAlignment="1">
      <alignment/>
    </xf>
    <xf numFmtId="3" fontId="108" fillId="0" borderId="0" xfId="0" applyNumberFormat="1" applyFont="1" applyFill="1" applyBorder="1" applyAlignment="1">
      <alignment/>
    </xf>
    <xf numFmtId="3" fontId="108" fillId="0" borderId="18" xfId="0" applyNumberFormat="1" applyFont="1" applyBorder="1" applyAlignment="1">
      <alignment/>
    </xf>
    <xf numFmtId="3" fontId="111" fillId="0" borderId="0" xfId="0" applyNumberFormat="1" applyFont="1" applyFill="1" applyAlignment="1">
      <alignment/>
    </xf>
    <xf numFmtId="3" fontId="108" fillId="0" borderId="18" xfId="0" applyNumberFormat="1" applyFont="1" applyFill="1" applyBorder="1" applyAlignment="1">
      <alignment/>
    </xf>
    <xf numFmtId="3" fontId="112" fillId="0" borderId="0" xfId="0" applyNumberFormat="1" applyFont="1" applyFill="1" applyAlignment="1">
      <alignment/>
    </xf>
    <xf numFmtId="3" fontId="113" fillId="0" borderId="0" xfId="130" applyNumberFormat="1" applyFont="1" applyFill="1" applyBorder="1" applyAlignment="1">
      <alignment/>
    </xf>
    <xf numFmtId="3" fontId="112" fillId="0" borderId="0" xfId="0" applyNumberFormat="1" applyFont="1" applyAlignment="1">
      <alignment/>
    </xf>
    <xf numFmtId="3" fontId="111" fillId="0" borderId="18" xfId="0" applyNumberFormat="1" applyFont="1" applyFill="1" applyBorder="1" applyAlignment="1">
      <alignment/>
    </xf>
    <xf numFmtId="3" fontId="114" fillId="0" borderId="0" xfId="0" applyNumberFormat="1" applyFont="1" applyFill="1" applyAlignment="1">
      <alignment/>
    </xf>
    <xf numFmtId="3" fontId="108" fillId="0" borderId="1" xfId="0" applyNumberFormat="1" applyFont="1" applyBorder="1" applyAlignment="1">
      <alignment/>
    </xf>
    <xf numFmtId="3" fontId="36" fillId="40" borderId="0" xfId="0" applyNumberFormat="1" applyFont="1" applyFill="1" applyBorder="1" applyAlignment="1">
      <alignment/>
    </xf>
    <xf numFmtId="3" fontId="36" fillId="0" borderId="19" xfId="0" applyNumberFormat="1" applyFont="1" applyFill="1" applyBorder="1" applyAlignment="1">
      <alignment/>
    </xf>
    <xf numFmtId="3" fontId="36" fillId="0" borderId="20" xfId="0" applyNumberFormat="1" applyFont="1" applyFill="1" applyBorder="1" applyAlignment="1">
      <alignment/>
    </xf>
    <xf numFmtId="3" fontId="108" fillId="0" borderId="0" xfId="109" applyNumberFormat="1" applyFont="1" applyFill="1" applyBorder="1" applyAlignment="1">
      <alignment/>
    </xf>
    <xf numFmtId="3" fontId="115" fillId="0" borderId="0" xfId="0" applyNumberFormat="1" applyFont="1" applyBorder="1" applyAlignment="1">
      <alignment/>
    </xf>
    <xf numFmtId="3" fontId="105" fillId="0" borderId="0" xfId="0" applyNumberFormat="1" applyFont="1" applyBorder="1" applyAlignment="1">
      <alignment/>
    </xf>
    <xf numFmtId="0" fontId="105" fillId="0" borderId="0" xfId="0" applyFont="1" applyBorder="1" applyAlignment="1">
      <alignment/>
    </xf>
    <xf numFmtId="3" fontId="115" fillId="0" borderId="0" xfId="0" applyNumberFormat="1" applyFont="1" applyFill="1" applyBorder="1" applyAlignment="1">
      <alignment/>
    </xf>
    <xf numFmtId="3" fontId="115" fillId="0" borderId="17" xfId="0" applyNumberFormat="1" applyFont="1" applyFill="1" applyBorder="1" applyAlignment="1">
      <alignment/>
    </xf>
    <xf numFmtId="3" fontId="105" fillId="0" borderId="0" xfId="0" applyNumberFormat="1" applyFont="1" applyFill="1" applyBorder="1" applyAlignment="1">
      <alignment/>
    </xf>
    <xf numFmtId="3" fontId="105" fillId="0" borderId="17" xfId="0" applyNumberFormat="1" applyFont="1" applyFill="1" applyBorder="1" applyAlignment="1">
      <alignment/>
    </xf>
    <xf numFmtId="0" fontId="105" fillId="0" borderId="17" xfId="0" applyFont="1" applyFill="1" applyBorder="1" applyAlignment="1">
      <alignment/>
    </xf>
    <xf numFmtId="3" fontId="115" fillId="0" borderId="17" xfId="109" applyNumberFormat="1" applyFont="1" applyFill="1" applyBorder="1" applyAlignment="1">
      <alignment/>
    </xf>
    <xf numFmtId="0" fontId="105" fillId="0" borderId="17" xfId="0" applyFont="1" applyFill="1" applyBorder="1" applyAlignment="1">
      <alignment vertical="center"/>
    </xf>
    <xf numFmtId="3" fontId="105" fillId="0" borderId="17" xfId="109" applyNumberFormat="1" applyFont="1" applyFill="1" applyBorder="1" applyAlignment="1">
      <alignment vertical="center"/>
    </xf>
    <xf numFmtId="3" fontId="105" fillId="0" borderId="17" xfId="109" applyNumberFormat="1" applyFont="1" applyFill="1" applyBorder="1" applyAlignment="1">
      <alignment/>
    </xf>
    <xf numFmtId="0" fontId="105" fillId="0" borderId="0" xfId="0" applyFont="1" applyFill="1" applyBorder="1" applyAlignment="1">
      <alignment/>
    </xf>
    <xf numFmtId="3" fontId="115" fillId="0" borderId="0" xfId="109" applyNumberFormat="1" applyFont="1" applyFill="1" applyBorder="1" applyAlignment="1">
      <alignment/>
    </xf>
    <xf numFmtId="0" fontId="105" fillId="0" borderId="0" xfId="0" applyFont="1" applyFill="1" applyBorder="1" applyAlignment="1">
      <alignment vertical="center"/>
    </xf>
    <xf numFmtId="3" fontId="116" fillId="0" borderId="17" xfId="109" applyNumberFormat="1" applyFont="1" applyFill="1" applyBorder="1" applyAlignment="1">
      <alignment/>
    </xf>
    <xf numFmtId="3" fontId="117" fillId="0" borderId="0" xfId="0" applyNumberFormat="1" applyFont="1" applyFill="1" applyBorder="1" applyAlignment="1">
      <alignment/>
    </xf>
    <xf numFmtId="3" fontId="116" fillId="0" borderId="0" xfId="109" applyNumberFormat="1" applyFont="1" applyFill="1" applyBorder="1" applyAlignment="1">
      <alignment/>
    </xf>
    <xf numFmtId="3" fontId="117" fillId="0" borderId="0" xfId="109" applyNumberFormat="1" applyFont="1" applyFill="1" applyBorder="1" applyAlignment="1">
      <alignment/>
    </xf>
    <xf numFmtId="3" fontId="117" fillId="0" borderId="17" xfId="109" applyNumberFormat="1" applyFont="1" applyFill="1" applyBorder="1" applyAlignment="1">
      <alignment vertical="center"/>
    </xf>
    <xf numFmtId="3" fontId="117" fillId="0" borderId="0" xfId="109" applyNumberFormat="1" applyFont="1" applyFill="1" applyBorder="1" applyAlignment="1">
      <alignment vertical="center"/>
    </xf>
    <xf numFmtId="0" fontId="117" fillId="0" borderId="17" xfId="0" applyFont="1" applyFill="1" applyBorder="1" applyAlignment="1">
      <alignment vertical="center"/>
    </xf>
    <xf numFmtId="0" fontId="117" fillId="0" borderId="0" xfId="0" applyFont="1" applyFill="1" applyBorder="1" applyAlignment="1">
      <alignment vertical="center"/>
    </xf>
    <xf numFmtId="3" fontId="105" fillId="0" borderId="24" xfId="109" applyNumberFormat="1" applyFont="1" applyFill="1" applyBorder="1" applyAlignment="1">
      <alignment/>
    </xf>
    <xf numFmtId="3" fontId="105" fillId="0" borderId="19" xfId="0" applyNumberFormat="1" applyFont="1" applyFill="1" applyBorder="1" applyAlignment="1">
      <alignment/>
    </xf>
    <xf numFmtId="3" fontId="105" fillId="0" borderId="19" xfId="109" applyNumberFormat="1" applyFont="1" applyFill="1" applyBorder="1" applyAlignment="1">
      <alignment/>
    </xf>
    <xf numFmtId="3" fontId="117" fillId="0" borderId="17" xfId="109" applyNumberFormat="1" applyFont="1" applyFill="1" applyBorder="1" applyAlignment="1">
      <alignment/>
    </xf>
    <xf numFmtId="0" fontId="105" fillId="0" borderId="17" xfId="0" applyFont="1" applyBorder="1" applyAlignment="1">
      <alignment/>
    </xf>
    <xf numFmtId="3" fontId="115" fillId="0" borderId="24" xfId="109" applyNumberFormat="1" applyFont="1" applyFill="1" applyBorder="1" applyAlignment="1">
      <alignment/>
    </xf>
    <xf numFmtId="3" fontId="115" fillId="0" borderId="19" xfId="0" applyNumberFormat="1" applyFont="1" applyFill="1" applyBorder="1" applyAlignment="1">
      <alignment/>
    </xf>
    <xf numFmtId="3" fontId="115" fillId="0" borderId="18" xfId="0" applyNumberFormat="1" applyFont="1" applyFill="1" applyBorder="1" applyAlignment="1">
      <alignment/>
    </xf>
    <xf numFmtId="3" fontId="116" fillId="0" borderId="18" xfId="109" applyNumberFormat="1" applyFont="1" applyFill="1" applyBorder="1" applyAlignment="1">
      <alignment/>
    </xf>
    <xf numFmtId="0" fontId="105" fillId="0" borderId="18" xfId="0" applyFont="1" applyFill="1" applyBorder="1" applyAlignment="1">
      <alignment/>
    </xf>
    <xf numFmtId="3" fontId="117" fillId="0" borderId="18" xfId="109" applyNumberFormat="1" applyFont="1" applyFill="1" applyBorder="1" applyAlignment="1">
      <alignment/>
    </xf>
    <xf numFmtId="3" fontId="115" fillId="0" borderId="18" xfId="109" applyNumberFormat="1" applyFont="1" applyFill="1" applyBorder="1" applyAlignment="1">
      <alignment/>
    </xf>
    <xf numFmtId="3" fontId="105" fillId="0" borderId="18" xfId="0" applyNumberFormat="1" applyFont="1" applyFill="1" applyBorder="1" applyAlignment="1">
      <alignment/>
    </xf>
    <xf numFmtId="3" fontId="117" fillId="0" borderId="18" xfId="109" applyNumberFormat="1" applyFont="1" applyFill="1" applyBorder="1" applyAlignment="1">
      <alignment vertical="center"/>
    </xf>
    <xf numFmtId="3" fontId="105" fillId="0" borderId="20" xfId="0" applyNumberFormat="1" applyFont="1" applyFill="1" applyBorder="1" applyAlignment="1">
      <alignment/>
    </xf>
    <xf numFmtId="0" fontId="115" fillId="0" borderId="18" xfId="0" applyFont="1" applyFill="1" applyBorder="1" applyAlignment="1">
      <alignment/>
    </xf>
    <xf numFmtId="3" fontId="115" fillId="0" borderId="20" xfId="0" applyNumberFormat="1" applyFont="1" applyFill="1" applyBorder="1" applyAlignment="1">
      <alignment/>
    </xf>
    <xf numFmtId="3" fontId="1" fillId="0" borderId="18" xfId="0" applyNumberFormat="1" applyFont="1" applyFill="1" applyBorder="1" applyAlignment="1">
      <alignment/>
    </xf>
    <xf numFmtId="3" fontId="8" fillId="0" borderId="18" xfId="0" applyNumberFormat="1" applyFont="1" applyFill="1" applyBorder="1" applyAlignment="1">
      <alignment horizontal="right"/>
    </xf>
    <xf numFmtId="3" fontId="0" fillId="0" borderId="19" xfId="0" applyNumberFormat="1" applyFont="1" applyFill="1" applyBorder="1" applyAlignment="1">
      <alignment horizontal="right"/>
    </xf>
    <xf numFmtId="166" fontId="105" fillId="33" borderId="19" xfId="0" applyNumberFormat="1" applyFont="1" applyFill="1" applyBorder="1" applyAlignment="1">
      <alignment/>
    </xf>
    <xf numFmtId="166" fontId="105" fillId="33" borderId="20" xfId="0" applyNumberFormat="1" applyFont="1" applyFill="1" applyBorder="1" applyAlignment="1">
      <alignment/>
    </xf>
    <xf numFmtId="3" fontId="6" fillId="0" borderId="0" xfId="109" applyNumberFormat="1" applyFont="1" applyFill="1" applyBorder="1" applyAlignment="1">
      <alignment/>
    </xf>
    <xf numFmtId="3" fontId="6" fillId="0" borderId="18" xfId="109" applyNumberFormat="1" applyFont="1" applyFill="1" applyBorder="1" applyAlignment="1">
      <alignment/>
    </xf>
    <xf numFmtId="3" fontId="0" fillId="0" borderId="0" xfId="109" applyNumberFormat="1" applyFont="1" applyFill="1" applyBorder="1" applyAlignment="1">
      <alignment/>
    </xf>
    <xf numFmtId="3" fontId="1" fillId="0" borderId="0" xfId="0" applyNumberFormat="1" applyFont="1" applyFill="1" applyBorder="1" applyAlignment="1">
      <alignment/>
    </xf>
    <xf numFmtId="3" fontId="1" fillId="0" borderId="19" xfId="0" applyNumberFormat="1" applyFont="1" applyFill="1" applyBorder="1" applyAlignment="1">
      <alignment/>
    </xf>
    <xf numFmtId="167" fontId="5" fillId="0" borderId="0" xfId="0" applyNumberFormat="1" applyFont="1" applyFill="1" applyBorder="1" applyAlignment="1">
      <alignment horizontal="center" vertical="center"/>
    </xf>
    <xf numFmtId="167" fontId="10" fillId="0" borderId="22" xfId="0" applyNumberFormat="1" applyFont="1" applyFill="1" applyBorder="1" applyAlignment="1">
      <alignment horizontal="left"/>
    </xf>
    <xf numFmtId="0" fontId="6" fillId="0" borderId="22" xfId="0" applyFont="1" applyFill="1" applyBorder="1" applyAlignment="1">
      <alignment vertical="center"/>
    </xf>
    <xf numFmtId="3" fontId="6" fillId="0" borderId="18" xfId="109" applyNumberFormat="1" applyFont="1" applyFill="1" applyBorder="1" applyAlignment="1">
      <alignment vertical="center"/>
    </xf>
    <xf numFmtId="3" fontId="117" fillId="0" borderId="18" xfId="0" applyNumberFormat="1" applyFont="1" applyFill="1" applyBorder="1" applyAlignment="1">
      <alignment/>
    </xf>
    <xf numFmtId="3" fontId="6" fillId="0" borderId="17" xfId="109" applyNumberFormat="1" applyFont="1" applyFill="1" applyBorder="1" applyAlignment="1">
      <alignment/>
    </xf>
    <xf numFmtId="3" fontId="10" fillId="0" borderId="18" xfId="109" applyNumberFormat="1" applyFont="1" applyFill="1" applyBorder="1" applyAlignment="1">
      <alignment/>
    </xf>
    <xf numFmtId="3" fontId="10" fillId="0" borderId="17" xfId="109" applyNumberFormat="1" applyFont="1" applyFill="1" applyBorder="1" applyAlignment="1">
      <alignment vertical="center"/>
    </xf>
    <xf numFmtId="3" fontId="6" fillId="0" borderId="0" xfId="109" applyNumberFormat="1" applyFont="1" applyFill="1" applyBorder="1" applyAlignment="1">
      <alignment vertical="center"/>
    </xf>
    <xf numFmtId="0" fontId="6" fillId="0" borderId="0" xfId="0" applyFont="1" applyFill="1" applyBorder="1" applyAlignment="1">
      <alignment/>
    </xf>
    <xf numFmtId="3" fontId="117" fillId="0" borderId="17" xfId="0" applyNumberFormat="1" applyFont="1" applyFill="1" applyBorder="1" applyAlignment="1">
      <alignment/>
    </xf>
    <xf numFmtId="0" fontId="1" fillId="0" borderId="22" xfId="0" applyFont="1" applyFill="1" applyBorder="1" applyAlignment="1">
      <alignment/>
    </xf>
    <xf numFmtId="3" fontId="1" fillId="0" borderId="24" xfId="109" applyNumberFormat="1" applyFont="1" applyFill="1" applyBorder="1" applyAlignment="1">
      <alignment/>
    </xf>
    <xf numFmtId="3" fontId="1" fillId="0" borderId="19" xfId="109" applyNumberFormat="1" applyFont="1" applyFill="1" applyBorder="1" applyAlignment="1">
      <alignment/>
    </xf>
    <xf numFmtId="3" fontId="1" fillId="0" borderId="20" xfId="109" applyNumberFormat="1" applyFont="1" applyFill="1" applyBorder="1" applyAlignment="1">
      <alignment/>
    </xf>
    <xf numFmtId="3" fontId="6" fillId="0" borderId="19" xfId="0" applyNumberFormat="1" applyFont="1" applyFill="1" applyBorder="1" applyAlignment="1">
      <alignment/>
    </xf>
    <xf numFmtId="0" fontId="0" fillId="0" borderId="0" xfId="0" applyFont="1" applyFill="1" applyAlignment="1">
      <alignment/>
    </xf>
    <xf numFmtId="3" fontId="1" fillId="0" borderId="0" xfId="0" applyNumberFormat="1" applyFont="1" applyBorder="1" applyAlignment="1">
      <alignment/>
    </xf>
    <xf numFmtId="3" fontId="1" fillId="0" borderId="18" xfId="0" applyNumberFormat="1" applyFont="1" applyBorder="1" applyAlignment="1">
      <alignment/>
    </xf>
    <xf numFmtId="0" fontId="10" fillId="0" borderId="22" xfId="0" applyFont="1" applyFill="1" applyBorder="1" applyAlignment="1">
      <alignment/>
    </xf>
    <xf numFmtId="0" fontId="0" fillId="0" borderId="17" xfId="0" applyFont="1" applyFill="1" applyBorder="1" applyAlignment="1" quotePrefix="1">
      <alignment/>
    </xf>
    <xf numFmtId="0" fontId="0" fillId="0" borderId="0" xfId="0" applyFont="1" applyFill="1" applyBorder="1" applyAlignment="1">
      <alignment horizontal="left"/>
    </xf>
    <xf numFmtId="0" fontId="0" fillId="0" borderId="0" xfId="0" applyFont="1" applyFill="1" applyBorder="1" applyAlignment="1" quotePrefix="1">
      <alignment horizontal="left"/>
    </xf>
    <xf numFmtId="3" fontId="105" fillId="0" borderId="20" xfId="109" applyNumberFormat="1" applyFont="1" applyFill="1" applyBorder="1" applyAlignment="1">
      <alignment/>
    </xf>
    <xf numFmtId="3" fontId="1" fillId="0" borderId="18" xfId="109" applyNumberFormat="1" applyFont="1" applyFill="1" applyBorder="1" applyAlignment="1">
      <alignment/>
    </xf>
    <xf numFmtId="3" fontId="0" fillId="0" borderId="26" xfId="0" applyNumberFormat="1" applyFont="1" applyBorder="1" applyAlignment="1">
      <alignment/>
    </xf>
    <xf numFmtId="3" fontId="0" fillId="0" borderId="26" xfId="0" applyNumberFormat="1" applyFont="1" applyFill="1" applyBorder="1" applyAlignment="1">
      <alignment/>
    </xf>
    <xf numFmtId="3" fontId="0" fillId="0" borderId="20" xfId="0"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horizontal="left" wrapText="1"/>
    </xf>
    <xf numFmtId="0" fontId="0" fillId="0" borderId="27" xfId="0" applyFont="1" applyFill="1" applyBorder="1" applyAlignment="1">
      <alignment horizontal="center" vertical="center"/>
    </xf>
    <xf numFmtId="0" fontId="0" fillId="0" borderId="0" xfId="0" applyFill="1" applyAlignment="1">
      <alignment/>
    </xf>
    <xf numFmtId="0" fontId="38" fillId="0" borderId="0" xfId="0" applyFont="1" applyAlignment="1">
      <alignment/>
    </xf>
    <xf numFmtId="0" fontId="0" fillId="0" borderId="0" xfId="0" applyAlignment="1">
      <alignment horizontal="center"/>
    </xf>
    <xf numFmtId="168" fontId="0" fillId="0" borderId="0" xfId="0" applyNumberFormat="1" applyAlignment="1">
      <alignment horizontal="center"/>
    </xf>
    <xf numFmtId="3" fontId="0" fillId="0" borderId="0" xfId="0" applyNumberFormat="1" applyAlignment="1">
      <alignment/>
    </xf>
    <xf numFmtId="0" fontId="0" fillId="0" borderId="1" xfId="0" applyFont="1" applyFill="1" applyBorder="1" applyAlignment="1">
      <alignment vertical="center"/>
    </xf>
    <xf numFmtId="166" fontId="105" fillId="33" borderId="0" xfId="0" applyNumberFormat="1" applyFont="1" applyFill="1" applyBorder="1" applyAlignment="1">
      <alignment/>
    </xf>
    <xf numFmtId="166" fontId="105" fillId="33" borderId="18" xfId="0" applyNumberFormat="1" applyFont="1" applyFill="1" applyBorder="1" applyAlignment="1">
      <alignment/>
    </xf>
    <xf numFmtId="0" fontId="0" fillId="0" borderId="0" xfId="0" applyFont="1" applyFill="1" applyBorder="1" applyAlignment="1" quotePrefix="1">
      <alignment/>
    </xf>
    <xf numFmtId="0" fontId="0" fillId="0" borderId="23" xfId="0" applyFont="1" applyFill="1" applyBorder="1" applyAlignment="1">
      <alignment/>
    </xf>
    <xf numFmtId="3" fontId="1" fillId="0" borderId="17" xfId="109" applyNumberFormat="1" applyFont="1" applyFill="1" applyBorder="1" applyAlignment="1">
      <alignment vertical="center"/>
    </xf>
    <xf numFmtId="3" fontId="1" fillId="0" borderId="0" xfId="109" applyNumberFormat="1" applyFont="1" applyFill="1" applyBorder="1" applyAlignment="1">
      <alignment vertical="center"/>
    </xf>
    <xf numFmtId="3" fontId="1" fillId="0" borderId="18" xfId="109" applyNumberFormat="1" applyFont="1" applyFill="1" applyBorder="1" applyAlignment="1">
      <alignment vertical="center"/>
    </xf>
    <xf numFmtId="3" fontId="6" fillId="0" borderId="17" xfId="109" applyNumberFormat="1" applyFont="1" applyFill="1" applyBorder="1" applyAlignment="1">
      <alignment vertical="center"/>
    </xf>
    <xf numFmtId="3" fontId="6" fillId="0" borderId="18" xfId="109" applyNumberFormat="1" applyFont="1" applyFill="1" applyBorder="1" applyAlignment="1">
      <alignment vertical="center"/>
    </xf>
    <xf numFmtId="0" fontId="1" fillId="0" borderId="22" xfId="0" applyFont="1" applyFill="1" applyBorder="1" applyAlignment="1">
      <alignment vertical="center"/>
    </xf>
    <xf numFmtId="0" fontId="6" fillId="0" borderId="22" xfId="0" applyFont="1" applyFill="1" applyBorder="1" applyAlignment="1">
      <alignment/>
    </xf>
    <xf numFmtId="0" fontId="1" fillId="0" borderId="23" xfId="0" applyFont="1" applyFill="1" applyBorder="1" applyAlignment="1">
      <alignment/>
    </xf>
    <xf numFmtId="0" fontId="0" fillId="0" borderId="22" xfId="0" applyFont="1" applyFill="1" applyBorder="1" applyAlignment="1">
      <alignment vertical="center"/>
    </xf>
    <xf numFmtId="0" fontId="1" fillId="0" borderId="23" xfId="0" applyFont="1" applyFill="1" applyBorder="1" applyAlignment="1">
      <alignment vertical="center"/>
    </xf>
    <xf numFmtId="3" fontId="116" fillId="0" borderId="24" xfId="109" applyNumberFormat="1" applyFont="1" applyFill="1" applyBorder="1" applyAlignment="1">
      <alignment/>
    </xf>
    <xf numFmtId="3" fontId="116" fillId="0" borderId="19" xfId="109" applyNumberFormat="1" applyFont="1" applyFill="1" applyBorder="1" applyAlignment="1">
      <alignment/>
    </xf>
    <xf numFmtId="3" fontId="116" fillId="0" borderId="24" xfId="0" applyNumberFormat="1" applyFont="1" applyFill="1" applyBorder="1" applyAlignment="1">
      <alignment/>
    </xf>
    <xf numFmtId="3" fontId="116" fillId="0" borderId="19" xfId="0" applyNumberFormat="1" applyFont="1" applyFill="1" applyBorder="1" applyAlignment="1">
      <alignment/>
    </xf>
    <xf numFmtId="3" fontId="116" fillId="0" borderId="20" xfId="0" applyNumberFormat="1" applyFont="1" applyFill="1" applyBorder="1" applyAlignment="1">
      <alignment/>
    </xf>
    <xf numFmtId="4" fontId="6" fillId="0" borderId="17" xfId="109" applyNumberFormat="1" applyFont="1" applyFill="1" applyBorder="1" applyAlignment="1">
      <alignment vertical="center"/>
    </xf>
    <xf numFmtId="4" fontId="6" fillId="0" borderId="0" xfId="109" applyNumberFormat="1" applyFont="1" applyFill="1" applyBorder="1" applyAlignment="1">
      <alignment vertical="center"/>
    </xf>
    <xf numFmtId="4" fontId="6" fillId="0" borderId="18" xfId="109" applyNumberFormat="1" applyFont="1" applyFill="1" applyBorder="1" applyAlignment="1">
      <alignment vertical="center"/>
    </xf>
    <xf numFmtId="3" fontId="0" fillId="0" borderId="0" xfId="0" applyNumberFormat="1" applyFont="1" applyFill="1" applyBorder="1" applyAlignment="1">
      <alignment/>
    </xf>
    <xf numFmtId="0" fontId="9" fillId="0" borderId="0" xfId="0" applyFont="1" applyFill="1" applyBorder="1" applyAlignment="1" quotePrefix="1">
      <alignment horizontal="left"/>
    </xf>
    <xf numFmtId="0" fontId="9" fillId="0" borderId="0" xfId="0" applyFont="1" applyFill="1" applyBorder="1" applyAlignment="1">
      <alignment horizontal="left"/>
    </xf>
    <xf numFmtId="3" fontId="9" fillId="0" borderId="0" xfId="0" applyNumberFormat="1" applyFont="1" applyFill="1" applyBorder="1" applyAlignment="1">
      <alignment/>
    </xf>
    <xf numFmtId="0" fontId="9" fillId="0" borderId="0" xfId="0" applyFont="1" applyFill="1" applyBorder="1" applyAlignment="1">
      <alignment/>
    </xf>
    <xf numFmtId="0" fontId="0" fillId="0" borderId="22" xfId="0" applyFont="1" applyBorder="1" applyAlignment="1">
      <alignment/>
    </xf>
    <xf numFmtId="0" fontId="10" fillId="0" borderId="22" xfId="0" applyFont="1" applyBorder="1" applyAlignment="1">
      <alignment/>
    </xf>
    <xf numFmtId="0" fontId="1" fillId="0" borderId="22" xfId="0" applyFont="1" applyBorder="1" applyAlignment="1">
      <alignment/>
    </xf>
    <xf numFmtId="0" fontId="0" fillId="0" borderId="22" xfId="0" applyFont="1" applyBorder="1" applyAlignment="1">
      <alignment/>
    </xf>
    <xf numFmtId="3" fontId="1" fillId="33" borderId="23" xfId="0" applyNumberFormat="1" applyFont="1" applyFill="1" applyBorder="1" applyAlignment="1">
      <alignment/>
    </xf>
    <xf numFmtId="3" fontId="4" fillId="0" borderId="22" xfId="0" applyNumberFormat="1" applyFont="1" applyFill="1" applyBorder="1" applyAlignment="1">
      <alignment horizontal="center" vertical="center"/>
    </xf>
    <xf numFmtId="0" fontId="4" fillId="0" borderId="22" xfId="0" applyNumberFormat="1" applyFont="1" applyBorder="1" applyAlignment="1">
      <alignment vertical="center"/>
    </xf>
    <xf numFmtId="0" fontId="1" fillId="0" borderId="22" xfId="0" applyNumberFormat="1" applyFont="1" applyFill="1" applyBorder="1" applyAlignment="1">
      <alignment horizontal="left"/>
    </xf>
    <xf numFmtId="0" fontId="1" fillId="33" borderId="22" xfId="0" applyFont="1" applyFill="1" applyBorder="1" applyAlignment="1">
      <alignment/>
    </xf>
    <xf numFmtId="0" fontId="4" fillId="0" borderId="22" xfId="0" applyFont="1" applyBorder="1" applyAlignment="1">
      <alignment/>
    </xf>
    <xf numFmtId="0" fontId="0" fillId="0" borderId="22" xfId="0" applyFont="1" applyFill="1" applyBorder="1" applyAlignment="1" quotePrefix="1">
      <alignment vertical="center"/>
    </xf>
    <xf numFmtId="0" fontId="1" fillId="33" borderId="23" xfId="0" applyFont="1" applyFill="1" applyBorder="1" applyAlignment="1">
      <alignment/>
    </xf>
    <xf numFmtId="0" fontId="4" fillId="0" borderId="22" xfId="0" applyFont="1" applyBorder="1" applyAlignment="1">
      <alignment/>
    </xf>
    <xf numFmtId="0" fontId="1" fillId="33" borderId="22" xfId="0" applyFont="1" applyFill="1" applyBorder="1" applyAlignment="1">
      <alignment/>
    </xf>
    <xf numFmtId="0" fontId="0" fillId="0" borderId="22" xfId="0" applyFont="1" applyFill="1" applyBorder="1" applyAlignment="1" quotePrefix="1">
      <alignment/>
    </xf>
    <xf numFmtId="0" fontId="4" fillId="0" borderId="22" xfId="0" applyFont="1" applyFill="1" applyBorder="1" applyAlignment="1">
      <alignment/>
    </xf>
    <xf numFmtId="0" fontId="0" fillId="0" borderId="22" xfId="0" applyFont="1" applyFill="1" applyBorder="1" applyAlignment="1">
      <alignment/>
    </xf>
    <xf numFmtId="0" fontId="0" fillId="0" borderId="22" xfId="0" applyFont="1" applyBorder="1" applyAlignment="1">
      <alignment/>
    </xf>
    <xf numFmtId="3" fontId="105" fillId="0" borderId="17" xfId="109" applyNumberFormat="1" applyFont="1" applyFill="1" applyBorder="1" applyAlignment="1">
      <alignment horizontal="right"/>
    </xf>
    <xf numFmtId="3" fontId="1" fillId="0" borderId="21" xfId="0" applyNumberFormat="1" applyFont="1" applyFill="1" applyBorder="1" applyAlignment="1">
      <alignment horizontal="center"/>
    </xf>
    <xf numFmtId="3" fontId="0" fillId="0" borderId="22" xfId="0" applyNumberFormat="1" applyFont="1" applyFill="1" applyBorder="1" applyAlignment="1">
      <alignment horizontal="left"/>
    </xf>
    <xf numFmtId="3" fontId="0" fillId="0" borderId="22" xfId="0" applyNumberFormat="1" applyFont="1" applyFill="1" applyBorder="1" applyAlignment="1">
      <alignment/>
    </xf>
    <xf numFmtId="3" fontId="1" fillId="0" borderId="22" xfId="0" applyNumberFormat="1" applyFont="1" applyFill="1" applyBorder="1" applyAlignment="1">
      <alignment/>
    </xf>
    <xf numFmtId="3" fontId="1" fillId="0" borderId="22" xfId="0" applyNumberFormat="1" applyFont="1" applyFill="1" applyBorder="1" applyAlignment="1">
      <alignment/>
    </xf>
    <xf numFmtId="3" fontId="0" fillId="0" borderId="22" xfId="0" applyNumberFormat="1" applyFont="1" applyFill="1" applyBorder="1" applyAlignment="1">
      <alignment/>
    </xf>
    <xf numFmtId="3" fontId="1" fillId="0" borderId="23" xfId="0" applyNumberFormat="1" applyFont="1" applyBorder="1" applyAlignment="1">
      <alignment/>
    </xf>
    <xf numFmtId="3" fontId="1" fillId="0" borderId="22" xfId="0" applyNumberFormat="1" applyFont="1" applyFill="1" applyBorder="1" applyAlignment="1">
      <alignment horizontal="center"/>
    </xf>
    <xf numFmtId="3" fontId="10" fillId="0" borderId="22" xfId="0" applyNumberFormat="1" applyFont="1" applyFill="1" applyBorder="1" applyAlignment="1">
      <alignment/>
    </xf>
    <xf numFmtId="3" fontId="0" fillId="0" borderId="22" xfId="0" applyNumberFormat="1" applyFont="1" applyFill="1" applyBorder="1" applyAlignment="1">
      <alignment/>
    </xf>
    <xf numFmtId="3" fontId="0" fillId="0" borderId="22" xfId="0" applyNumberFormat="1" applyFont="1" applyFill="1" applyBorder="1" applyAlignment="1">
      <alignment/>
    </xf>
    <xf numFmtId="3" fontId="0" fillId="0" borderId="26" xfId="0" applyNumberFormat="1" applyFont="1" applyFill="1" applyBorder="1" applyAlignment="1">
      <alignment/>
    </xf>
    <xf numFmtId="3" fontId="0" fillId="0" borderId="26" xfId="0" applyNumberFormat="1" applyFont="1" applyBorder="1" applyAlignment="1">
      <alignment/>
    </xf>
    <xf numFmtId="3" fontId="111" fillId="0" borderId="21" xfId="0" applyNumberFormat="1" applyFont="1" applyFill="1" applyBorder="1" applyAlignment="1">
      <alignment horizontal="center"/>
    </xf>
    <xf numFmtId="3" fontId="1" fillId="33" borderId="22" xfId="0" applyNumberFormat="1" applyFont="1" applyFill="1" applyBorder="1" applyAlignment="1">
      <alignment/>
    </xf>
    <xf numFmtId="3" fontId="0" fillId="0" borderId="22" xfId="0" applyNumberFormat="1" applyFont="1" applyBorder="1" applyAlignment="1">
      <alignment/>
    </xf>
    <xf numFmtId="3" fontId="108" fillId="0" borderId="22" xfId="0" applyNumberFormat="1" applyFont="1" applyBorder="1" applyAlignment="1">
      <alignment/>
    </xf>
    <xf numFmtId="3" fontId="108" fillId="0" borderId="22" xfId="0" applyNumberFormat="1" applyFont="1" applyFill="1" applyBorder="1" applyAlignment="1">
      <alignment/>
    </xf>
    <xf numFmtId="3" fontId="113" fillId="0" borderId="22" xfId="0" applyNumberFormat="1" applyFont="1" applyFill="1" applyBorder="1" applyAlignment="1">
      <alignment/>
    </xf>
    <xf numFmtId="3" fontId="1" fillId="33" borderId="23" xfId="0" applyNumberFormat="1" applyFont="1" applyFill="1" applyBorder="1" applyAlignment="1">
      <alignment/>
    </xf>
    <xf numFmtId="3" fontId="108" fillId="0" borderId="21" xfId="0" applyNumberFormat="1" applyFont="1" applyFill="1" applyBorder="1" applyAlignment="1">
      <alignment/>
    </xf>
    <xf numFmtId="3" fontId="111" fillId="0" borderId="22" xfId="0" applyNumberFormat="1" applyFont="1" applyBorder="1" applyAlignment="1">
      <alignment/>
    </xf>
    <xf numFmtId="3" fontId="10" fillId="0" borderId="23" xfId="0" applyNumberFormat="1" applyFont="1" applyBorder="1" applyAlignment="1">
      <alignment/>
    </xf>
    <xf numFmtId="3" fontId="1" fillId="40" borderId="22" xfId="0" applyNumberFormat="1" applyFont="1" applyFill="1" applyBorder="1" applyAlignment="1">
      <alignment/>
    </xf>
    <xf numFmtId="3" fontId="1" fillId="40" borderId="23" xfId="0" applyNumberFormat="1" applyFont="1" applyFill="1" applyBorder="1" applyAlignment="1">
      <alignment/>
    </xf>
    <xf numFmtId="0" fontId="5" fillId="41" borderId="19" xfId="0" applyNumberFormat="1" applyFont="1" applyFill="1" applyBorder="1" applyAlignment="1">
      <alignment horizontal="center" vertical="center" wrapText="1"/>
    </xf>
    <xf numFmtId="0" fontId="5" fillId="41" borderId="19" xfId="0" applyNumberFormat="1" applyFont="1" applyFill="1" applyBorder="1" applyAlignment="1">
      <alignment horizontal="center" vertical="center" wrapText="1"/>
    </xf>
    <xf numFmtId="0" fontId="5" fillId="41" borderId="20" xfId="0" applyNumberFormat="1" applyFont="1" applyFill="1" applyBorder="1" applyAlignment="1">
      <alignment horizontal="center" vertical="center" wrapText="1"/>
    </xf>
    <xf numFmtId="0" fontId="118" fillId="41" borderId="19" xfId="0" applyNumberFormat="1" applyFont="1" applyFill="1" applyBorder="1" applyAlignment="1">
      <alignment horizontal="center" vertical="center" wrapText="1"/>
    </xf>
    <xf numFmtId="0" fontId="118" fillId="41" borderId="20" xfId="0" applyNumberFormat="1" applyFont="1" applyFill="1" applyBorder="1" applyAlignment="1">
      <alignment horizontal="center" vertical="center" wrapText="1"/>
    </xf>
    <xf numFmtId="167" fontId="5" fillId="41" borderId="25" xfId="0" applyNumberFormat="1" applyFont="1" applyFill="1" applyBorder="1" applyAlignment="1">
      <alignment horizontal="center" vertical="center"/>
    </xf>
    <xf numFmtId="167" fontId="5" fillId="41" borderId="1" xfId="0" applyNumberFormat="1" applyFont="1" applyFill="1" applyBorder="1" applyAlignment="1">
      <alignment horizontal="center" vertical="center"/>
    </xf>
    <xf numFmtId="167" fontId="5" fillId="41" borderId="26" xfId="0" applyNumberFormat="1" applyFont="1" applyFill="1" applyBorder="1" applyAlignment="1">
      <alignment horizontal="center" vertical="center"/>
    </xf>
    <xf numFmtId="0" fontId="105" fillId="0" borderId="17" xfId="0" applyFont="1" applyFill="1" applyBorder="1" applyAlignment="1">
      <alignment horizontal="right"/>
    </xf>
    <xf numFmtId="3" fontId="105" fillId="0" borderId="24" xfId="109" applyNumberFormat="1" applyFont="1" applyFill="1" applyBorder="1" applyAlignment="1">
      <alignment horizontal="right"/>
    </xf>
    <xf numFmtId="3" fontId="105" fillId="0" borderId="17" xfId="0" applyNumberFormat="1" applyFont="1" applyFill="1" applyBorder="1" applyAlignment="1">
      <alignment horizontal="right"/>
    </xf>
    <xf numFmtId="3" fontId="1" fillId="0" borderId="20" xfId="0" applyNumberFormat="1" applyFont="1" applyFill="1" applyBorder="1" applyAlignment="1">
      <alignment/>
    </xf>
    <xf numFmtId="3" fontId="1" fillId="0" borderId="24" xfId="0" applyNumberFormat="1" applyFont="1" applyFill="1" applyBorder="1" applyAlignment="1">
      <alignment/>
    </xf>
    <xf numFmtId="3" fontId="105" fillId="0" borderId="19" xfId="109" applyNumberFormat="1" applyFont="1" applyFill="1" applyBorder="1" applyAlignment="1">
      <alignment horizontal="right"/>
    </xf>
    <xf numFmtId="0" fontId="4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28" xfId="0" applyFont="1" applyFill="1" applyBorder="1" applyAlignment="1">
      <alignment vertical="center"/>
    </xf>
    <xf numFmtId="0" fontId="42" fillId="0" borderId="29" xfId="0" applyFont="1" applyFill="1" applyBorder="1" applyAlignment="1">
      <alignment horizontal="center" vertical="center"/>
    </xf>
    <xf numFmtId="0" fontId="42" fillId="0" borderId="28"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22" xfId="0" applyFont="1" applyFill="1" applyBorder="1" applyAlignment="1">
      <alignment vertical="center"/>
    </xf>
    <xf numFmtId="3" fontId="119" fillId="0" borderId="22" xfId="0" applyNumberFormat="1" applyFont="1" applyFill="1" applyBorder="1" applyAlignment="1">
      <alignment horizontal="center" vertical="center"/>
    </xf>
    <xf numFmtId="0" fontId="120" fillId="0" borderId="22" xfId="0" applyFont="1" applyFill="1" applyBorder="1" applyAlignment="1">
      <alignment horizontal="center" vertical="center"/>
    </xf>
    <xf numFmtId="166" fontId="42" fillId="0" borderId="31" xfId="0" applyNumberFormat="1" applyFont="1" applyFill="1" applyBorder="1" applyAlignment="1">
      <alignment horizontal="center" vertical="center"/>
    </xf>
    <xf numFmtId="1" fontId="41" fillId="0" borderId="30" xfId="0" applyNumberFormat="1" applyFont="1" applyFill="1" applyBorder="1" applyAlignment="1">
      <alignment horizontal="center" vertical="center"/>
    </xf>
    <xf numFmtId="0" fontId="41" fillId="0" borderId="30" xfId="0" applyFont="1" applyFill="1" applyBorder="1" applyAlignment="1">
      <alignment vertical="center"/>
    </xf>
    <xf numFmtId="0" fontId="42" fillId="0" borderId="10" xfId="0" applyFont="1" applyFill="1" applyBorder="1" applyAlignment="1">
      <alignment vertical="center"/>
    </xf>
    <xf numFmtId="0" fontId="41" fillId="0" borderId="1" xfId="0" applyFont="1" applyFill="1" applyBorder="1" applyAlignment="1">
      <alignment horizontal="center" vertical="center"/>
    </xf>
    <xf numFmtId="0" fontId="41" fillId="0" borderId="1" xfId="0" applyFont="1" applyFill="1" applyBorder="1" applyAlignment="1">
      <alignment vertical="center"/>
    </xf>
    <xf numFmtId="3" fontId="42"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166" fontId="42" fillId="0" borderId="32" xfId="0" applyNumberFormat="1" applyFont="1" applyFill="1" applyBorder="1" applyAlignment="1">
      <alignment horizontal="center" vertical="center"/>
    </xf>
    <xf numFmtId="3" fontId="42" fillId="0" borderId="30" xfId="0" applyNumberFormat="1" applyFont="1" applyFill="1" applyBorder="1" applyAlignment="1">
      <alignment horizontal="center" vertical="center"/>
    </xf>
    <xf numFmtId="0" fontId="42" fillId="0" borderId="0" xfId="0" applyFont="1" applyFill="1" applyBorder="1" applyAlignment="1">
      <alignment vertical="center"/>
    </xf>
    <xf numFmtId="0" fontId="41" fillId="0" borderId="21" xfId="0" applyFont="1" applyFill="1" applyBorder="1" applyAlignment="1">
      <alignment horizontal="center" vertical="center"/>
    </xf>
    <xf numFmtId="0" fontId="41" fillId="0" borderId="21" xfId="0" applyFont="1" applyFill="1" applyBorder="1" applyAlignment="1">
      <alignment vertical="center"/>
    </xf>
    <xf numFmtId="3" fontId="42" fillId="0" borderId="21" xfId="0" applyNumberFormat="1" applyFont="1" applyFill="1" applyBorder="1" applyAlignment="1">
      <alignment horizontal="center" vertical="center"/>
    </xf>
    <xf numFmtId="0" fontId="41" fillId="0" borderId="23" xfId="0" applyFont="1" applyFill="1" applyBorder="1" applyAlignment="1">
      <alignment vertical="center"/>
    </xf>
    <xf numFmtId="0" fontId="41" fillId="0" borderId="23"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30" xfId="0" applyFont="1" applyFill="1" applyBorder="1" applyAlignment="1">
      <alignment horizontal="center" vertical="center"/>
    </xf>
    <xf numFmtId="0" fontId="41" fillId="0" borderId="10" xfId="0" applyFont="1" applyFill="1" applyBorder="1" applyAlignment="1">
      <alignment vertical="center"/>
    </xf>
    <xf numFmtId="0" fontId="41" fillId="0" borderId="10" xfId="0" applyFont="1" applyFill="1" applyBorder="1" applyAlignment="1">
      <alignment horizontal="center" vertical="center"/>
    </xf>
    <xf numFmtId="3" fontId="42" fillId="0" borderId="10" xfId="0" applyNumberFormat="1" applyFont="1" applyFill="1" applyBorder="1" applyAlignment="1">
      <alignment horizontal="center" vertical="center"/>
    </xf>
    <xf numFmtId="3" fontId="42" fillId="0" borderId="32" xfId="0" applyNumberFormat="1" applyFont="1" applyFill="1" applyBorder="1" applyAlignment="1">
      <alignment horizontal="center" vertical="center"/>
    </xf>
    <xf numFmtId="3" fontId="42" fillId="0" borderId="31" xfId="0" applyNumberFormat="1" applyFont="1" applyFill="1" applyBorder="1" applyAlignment="1">
      <alignment horizontal="center" vertical="center"/>
    </xf>
    <xf numFmtId="0" fontId="47" fillId="0" borderId="33" xfId="0" applyFont="1" applyFill="1" applyBorder="1" applyAlignment="1">
      <alignment horizontal="center" vertical="center"/>
    </xf>
    <xf numFmtId="0" fontId="42" fillId="42" borderId="34" xfId="0" applyFont="1" applyFill="1" applyBorder="1" applyAlignment="1">
      <alignment vertical="center"/>
    </xf>
    <xf numFmtId="0" fontId="41" fillId="42" borderId="35" xfId="0" applyFont="1" applyFill="1" applyBorder="1" applyAlignment="1">
      <alignment vertical="center"/>
    </xf>
    <xf numFmtId="0" fontId="41" fillId="42" borderId="35" xfId="0" applyFont="1" applyFill="1" applyBorder="1" applyAlignment="1">
      <alignment horizontal="center" vertical="center"/>
    </xf>
    <xf numFmtId="4" fontId="42" fillId="42" borderId="35" xfId="0" applyNumberFormat="1" applyFont="1" applyFill="1" applyBorder="1" applyAlignment="1">
      <alignment horizontal="center" vertical="center"/>
    </xf>
    <xf numFmtId="4" fontId="42" fillId="42" borderId="36" xfId="0" applyNumberFormat="1" applyFont="1" applyFill="1" applyBorder="1" applyAlignment="1">
      <alignment horizontal="center" vertical="center"/>
    </xf>
    <xf numFmtId="3" fontId="42" fillId="0" borderId="37"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0" fontId="41" fillId="0" borderId="38" xfId="0" applyFont="1" applyFill="1" applyBorder="1" applyAlignment="1">
      <alignment vertical="center"/>
    </xf>
    <xf numFmtId="0" fontId="41" fillId="0" borderId="39" xfId="0" applyFont="1" applyFill="1" applyBorder="1" applyAlignment="1">
      <alignment vertical="center"/>
    </xf>
    <xf numFmtId="0" fontId="41" fillId="0" borderId="39" xfId="0" applyFont="1" applyFill="1" applyBorder="1" applyAlignment="1">
      <alignment horizontal="center" vertical="center"/>
    </xf>
    <xf numFmtId="3" fontId="42" fillId="0" borderId="29" xfId="0" applyNumberFormat="1" applyFont="1" applyFill="1" applyBorder="1" applyAlignment="1">
      <alignment horizontal="center" vertical="center"/>
    </xf>
    <xf numFmtId="0" fontId="41" fillId="0" borderId="40" xfId="0" applyFont="1" applyFill="1" applyBorder="1" applyAlignment="1">
      <alignment vertical="center"/>
    </xf>
    <xf numFmtId="1" fontId="119" fillId="0" borderId="22" xfId="0" applyNumberFormat="1" applyFont="1" applyFill="1" applyBorder="1" applyAlignment="1">
      <alignment horizontal="center" vertical="center"/>
    </xf>
    <xf numFmtId="1" fontId="42" fillId="0" borderId="31" xfId="0" applyNumberFormat="1" applyFont="1" applyFill="1" applyBorder="1" applyAlignment="1">
      <alignment horizontal="center" vertical="center"/>
    </xf>
    <xf numFmtId="3" fontId="41" fillId="0" borderId="30" xfId="0" applyNumberFormat="1" applyFont="1" applyFill="1" applyBorder="1" applyAlignment="1">
      <alignment horizontal="center" vertical="center"/>
    </xf>
    <xf numFmtId="0" fontId="120" fillId="0" borderId="23" xfId="0" applyFont="1" applyFill="1" applyBorder="1" applyAlignment="1">
      <alignment horizontal="center" vertical="center"/>
    </xf>
    <xf numFmtId="1" fontId="42" fillId="0" borderId="30" xfId="0" applyNumberFormat="1" applyFont="1" applyFill="1" applyBorder="1" applyAlignment="1">
      <alignment horizontal="center" vertical="center"/>
    </xf>
    <xf numFmtId="0" fontId="42" fillId="42" borderId="41" xfId="0" applyFont="1" applyFill="1" applyBorder="1" applyAlignment="1">
      <alignment vertical="center"/>
    </xf>
    <xf numFmtId="0" fontId="41" fillId="42" borderId="42" xfId="0" applyFont="1" applyFill="1" applyBorder="1" applyAlignment="1">
      <alignment vertical="center"/>
    </xf>
    <xf numFmtId="0" fontId="41" fillId="42" borderId="42" xfId="0" applyFont="1" applyFill="1" applyBorder="1" applyAlignment="1">
      <alignment horizontal="center" vertical="center"/>
    </xf>
    <xf numFmtId="3" fontId="42" fillId="42" borderId="42" xfId="0" applyNumberFormat="1" applyFont="1" applyFill="1" applyBorder="1" applyAlignment="1">
      <alignment horizontal="center" vertical="center"/>
    </xf>
    <xf numFmtId="3" fontId="42" fillId="42" borderId="43" xfId="0" applyNumberFormat="1" applyFont="1" applyFill="1" applyBorder="1" applyAlignment="1">
      <alignment horizontal="center" vertical="center"/>
    </xf>
    <xf numFmtId="0" fontId="41" fillId="0" borderId="0" xfId="0" applyFont="1" applyFill="1" applyBorder="1" applyAlignment="1">
      <alignment/>
    </xf>
    <xf numFmtId="0" fontId="121" fillId="0" borderId="0" xfId="0" applyFont="1" applyFill="1" applyBorder="1" applyAlignment="1">
      <alignment/>
    </xf>
    <xf numFmtId="0" fontId="42" fillId="0" borderId="0" xfId="0" applyFont="1" applyFill="1" applyBorder="1" applyAlignment="1">
      <alignment/>
    </xf>
    <xf numFmtId="0" fontId="43" fillId="0" borderId="0" xfId="0" applyFont="1" applyFill="1" applyBorder="1" applyAlignment="1">
      <alignment/>
    </xf>
    <xf numFmtId="0" fontId="44" fillId="0" borderId="0" xfId="0" applyFont="1" applyFill="1" applyBorder="1" applyAlignment="1">
      <alignment/>
    </xf>
    <xf numFmtId="0" fontId="41" fillId="0" borderId="0" xfId="0" applyFont="1" applyFill="1" applyBorder="1" applyAlignment="1">
      <alignment horizontal="center"/>
    </xf>
    <xf numFmtId="0" fontId="41" fillId="0" borderId="44" xfId="0" applyFont="1" applyFill="1" applyBorder="1" applyAlignment="1">
      <alignment/>
    </xf>
    <xf numFmtId="0" fontId="41" fillId="0" borderId="27" xfId="0" applyFont="1" applyFill="1" applyBorder="1" applyAlignment="1">
      <alignment/>
    </xf>
    <xf numFmtId="0" fontId="41" fillId="0" borderId="39" xfId="0" applyFont="1" applyFill="1" applyBorder="1" applyAlignment="1">
      <alignment/>
    </xf>
    <xf numFmtId="0" fontId="41" fillId="0" borderId="39" xfId="0" applyFont="1" applyFill="1" applyBorder="1" applyAlignment="1">
      <alignment horizontal="center"/>
    </xf>
    <xf numFmtId="0" fontId="46" fillId="0" borderId="39" xfId="0" applyFont="1" applyFill="1" applyBorder="1" applyAlignment="1">
      <alignment horizontal="center"/>
    </xf>
    <xf numFmtId="168" fontId="42" fillId="0" borderId="45" xfId="0" applyNumberFormat="1" applyFont="1" applyFill="1" applyBorder="1" applyAlignment="1">
      <alignment horizontal="center"/>
    </xf>
    <xf numFmtId="168" fontId="42" fillId="0" borderId="30" xfId="0" applyNumberFormat="1" applyFont="1" applyFill="1" applyBorder="1" applyAlignment="1">
      <alignment horizontal="center" vertical="center"/>
    </xf>
    <xf numFmtId="0" fontId="41" fillId="0" borderId="44" xfId="0" applyFont="1" applyFill="1" applyBorder="1" applyAlignment="1">
      <alignment horizontal="center"/>
    </xf>
    <xf numFmtId="0" fontId="41" fillId="0" borderId="29" xfId="0" applyFont="1" applyFill="1" applyBorder="1" applyAlignment="1">
      <alignment horizontal="center"/>
    </xf>
    <xf numFmtId="0" fontId="41" fillId="0" borderId="40" xfId="0" applyFont="1" applyFill="1" applyBorder="1" applyAlignment="1">
      <alignment horizontal="center"/>
    </xf>
    <xf numFmtId="0" fontId="41" fillId="0" borderId="46" xfId="0" applyFont="1" applyFill="1" applyBorder="1" applyAlignment="1">
      <alignment/>
    </xf>
    <xf numFmtId="0" fontId="41" fillId="0" borderId="22" xfId="0" applyFont="1" applyFill="1" applyBorder="1" applyAlignment="1">
      <alignment horizontal="center"/>
    </xf>
    <xf numFmtId="0" fontId="41" fillId="0" borderId="22" xfId="0" applyFont="1" applyFill="1" applyBorder="1" applyAlignment="1">
      <alignment/>
    </xf>
    <xf numFmtId="207" fontId="119" fillId="0" borderId="22" xfId="0" applyNumberFormat="1" applyFont="1" applyFill="1" applyBorder="1" applyAlignment="1">
      <alignment horizontal="center"/>
    </xf>
    <xf numFmtId="1" fontId="120" fillId="0" borderId="22" xfId="0" applyNumberFormat="1" applyFont="1" applyFill="1" applyBorder="1" applyAlignment="1">
      <alignment horizontal="center"/>
    </xf>
    <xf numFmtId="4" fontId="42" fillId="0" borderId="47" xfId="0" applyNumberFormat="1" applyFont="1" applyFill="1" applyBorder="1" applyAlignment="1">
      <alignment horizontal="center"/>
    </xf>
    <xf numFmtId="0" fontId="41" fillId="0" borderId="31" xfId="0" applyFont="1" applyFill="1" applyBorder="1" applyAlignment="1">
      <alignment horizontal="center"/>
    </xf>
    <xf numFmtId="207" fontId="41" fillId="0" borderId="0" xfId="0" applyNumberFormat="1" applyFont="1" applyFill="1" applyBorder="1" applyAlignment="1">
      <alignment/>
    </xf>
    <xf numFmtId="0" fontId="120" fillId="0" borderId="22" xfId="0" applyFont="1" applyFill="1" applyBorder="1" applyAlignment="1">
      <alignment horizontal="center"/>
    </xf>
    <xf numFmtId="0" fontId="41" fillId="43" borderId="22" xfId="0" applyFont="1" applyFill="1" applyBorder="1" applyAlignment="1">
      <alignment/>
    </xf>
    <xf numFmtId="0" fontId="41" fillId="0" borderId="0" xfId="0" applyFont="1" applyFill="1" applyBorder="1" applyAlignment="1">
      <alignment horizontal="left" vertical="center"/>
    </xf>
    <xf numFmtId="2" fontId="41" fillId="0" borderId="31" xfId="0" applyNumberFormat="1" applyFont="1" applyFill="1" applyBorder="1" applyAlignment="1">
      <alignment horizontal="center"/>
    </xf>
    <xf numFmtId="2" fontId="41" fillId="0" borderId="40" xfId="0" applyNumberFormat="1" applyFont="1" applyFill="1" applyBorder="1" applyAlignment="1">
      <alignment horizontal="center"/>
    </xf>
    <xf numFmtId="1" fontId="41" fillId="0" borderId="40" xfId="0" applyNumberFormat="1" applyFont="1" applyFill="1" applyBorder="1" applyAlignment="1">
      <alignment horizontal="center"/>
    </xf>
    <xf numFmtId="0" fontId="41" fillId="0" borderId="40" xfId="0" applyFont="1" applyFill="1" applyBorder="1" applyAlignment="1">
      <alignment/>
    </xf>
    <xf numFmtId="0" fontId="41" fillId="0" borderId="48" xfId="0" applyFont="1" applyFill="1" applyBorder="1" applyAlignment="1">
      <alignment/>
    </xf>
    <xf numFmtId="0" fontId="41" fillId="0" borderId="23" xfId="0" applyFont="1" applyFill="1" applyBorder="1" applyAlignment="1">
      <alignment horizontal="center"/>
    </xf>
    <xf numFmtId="0" fontId="41" fillId="0" borderId="23" xfId="0" applyFont="1" applyFill="1" applyBorder="1" applyAlignment="1">
      <alignment/>
    </xf>
    <xf numFmtId="2" fontId="119" fillId="0" borderId="23" xfId="0" applyNumberFormat="1" applyFont="1" applyFill="1" applyBorder="1" applyAlignment="1">
      <alignment horizontal="center"/>
    </xf>
    <xf numFmtId="1" fontId="120" fillId="0" borderId="23" xfId="0" applyNumberFormat="1" applyFont="1" applyFill="1" applyBorder="1" applyAlignment="1">
      <alignment horizontal="center"/>
    </xf>
    <xf numFmtId="4" fontId="42" fillId="0" borderId="49" xfId="0" applyNumberFormat="1" applyFont="1" applyFill="1" applyBorder="1" applyAlignment="1">
      <alignment horizontal="center"/>
    </xf>
    <xf numFmtId="0" fontId="42" fillId="0" borderId="50" xfId="0" applyFont="1" applyFill="1" applyBorder="1" applyAlignment="1">
      <alignment horizontal="center"/>
    </xf>
    <xf numFmtId="0" fontId="42" fillId="0" borderId="50" xfId="0" applyFont="1" applyFill="1" applyBorder="1" applyAlignment="1">
      <alignment/>
    </xf>
    <xf numFmtId="0" fontId="41" fillId="0" borderId="10" xfId="0" applyFont="1" applyFill="1" applyBorder="1" applyAlignment="1">
      <alignment/>
    </xf>
    <xf numFmtId="0" fontId="41" fillId="0" borderId="10" xfId="0" applyFont="1" applyFill="1" applyBorder="1" applyAlignment="1">
      <alignment horizontal="center"/>
    </xf>
    <xf numFmtId="2" fontId="41" fillId="0" borderId="10" xfId="0" applyNumberFormat="1" applyFont="1" applyFill="1" applyBorder="1" applyAlignment="1">
      <alignment horizontal="center"/>
    </xf>
    <xf numFmtId="4" fontId="42" fillId="0" borderId="32" xfId="0" applyNumberFormat="1" applyFont="1" applyFill="1" applyBorder="1" applyAlignment="1">
      <alignment horizontal="center"/>
    </xf>
    <xf numFmtId="0" fontId="41" fillId="0" borderId="21" xfId="0" applyFont="1" applyFill="1" applyBorder="1" applyAlignment="1">
      <alignment/>
    </xf>
    <xf numFmtId="0" fontId="41" fillId="0" borderId="26" xfId="0" applyFont="1" applyFill="1" applyBorder="1" applyAlignment="1">
      <alignment/>
    </xf>
    <xf numFmtId="2" fontId="41" fillId="0" borderId="26" xfId="0" applyNumberFormat="1" applyFont="1" applyFill="1" applyBorder="1" applyAlignment="1">
      <alignment horizontal="center"/>
    </xf>
    <xf numFmtId="0" fontId="41" fillId="0" borderId="26" xfId="0" applyFont="1" applyFill="1" applyBorder="1" applyAlignment="1">
      <alignment horizontal="center"/>
    </xf>
    <xf numFmtId="4" fontId="41" fillId="0" borderId="31" xfId="0" applyNumberFormat="1" applyFont="1" applyFill="1" applyBorder="1" applyAlignment="1">
      <alignment horizontal="center"/>
    </xf>
    <xf numFmtId="0" fontId="41" fillId="0" borderId="18" xfId="0" applyFont="1" applyFill="1" applyBorder="1" applyAlignment="1">
      <alignment/>
    </xf>
    <xf numFmtId="2" fontId="119" fillId="0" borderId="18" xfId="0" applyNumberFormat="1" applyFont="1" applyFill="1" applyBorder="1" applyAlignment="1">
      <alignment horizontal="center"/>
    </xf>
    <xf numFmtId="0" fontId="120" fillId="0" borderId="18" xfId="0" applyFont="1" applyFill="1" applyBorder="1" applyAlignment="1">
      <alignment horizontal="center"/>
    </xf>
    <xf numFmtId="4" fontId="42" fillId="0" borderId="31" xfId="0" applyNumberFormat="1" applyFont="1" applyFill="1" applyBorder="1" applyAlignment="1">
      <alignment horizontal="center"/>
    </xf>
    <xf numFmtId="0" fontId="41" fillId="0" borderId="40" xfId="0" applyFont="1" applyFill="1" applyBorder="1" applyAlignment="1">
      <alignment horizontal="center" vertical="center"/>
    </xf>
    <xf numFmtId="2" fontId="41" fillId="0" borderId="0" xfId="0" applyNumberFormat="1" applyFont="1" applyFill="1" applyBorder="1" applyAlignment="1">
      <alignment/>
    </xf>
    <xf numFmtId="0" fontId="41" fillId="0" borderId="20" xfId="0" applyFont="1" applyFill="1" applyBorder="1" applyAlignment="1">
      <alignment/>
    </xf>
    <xf numFmtId="2" fontId="119" fillId="0" borderId="20" xfId="0" applyNumberFormat="1" applyFont="1" applyFill="1" applyBorder="1" applyAlignment="1">
      <alignment horizontal="center"/>
    </xf>
    <xf numFmtId="0" fontId="120" fillId="0" borderId="20" xfId="0" applyFont="1" applyFill="1" applyBorder="1" applyAlignment="1">
      <alignment horizontal="center"/>
    </xf>
    <xf numFmtId="0" fontId="42" fillId="42" borderId="35" xfId="0" applyFont="1" applyFill="1" applyBorder="1" applyAlignment="1">
      <alignment/>
    </xf>
    <xf numFmtId="0" fontId="41" fillId="42" borderId="35" xfId="0" applyFont="1" applyFill="1" applyBorder="1" applyAlignment="1">
      <alignment/>
    </xf>
    <xf numFmtId="0" fontId="41" fillId="42" borderId="35" xfId="0" applyFont="1" applyFill="1" applyBorder="1" applyAlignment="1">
      <alignment horizontal="center"/>
    </xf>
    <xf numFmtId="0" fontId="42" fillId="42" borderId="34" xfId="0" applyFont="1" applyFill="1" applyBorder="1" applyAlignment="1">
      <alignment horizontal="center"/>
    </xf>
    <xf numFmtId="2" fontId="42" fillId="42" borderId="36" xfId="0" applyNumberFormat="1" applyFont="1" applyFill="1" applyBorder="1" applyAlignment="1">
      <alignment horizontal="center"/>
    </xf>
    <xf numFmtId="0" fontId="122" fillId="0" borderId="0" xfId="0" applyFont="1" applyFill="1" applyBorder="1" applyAlignment="1">
      <alignment horizontal="center"/>
    </xf>
    <xf numFmtId="1" fontId="41" fillId="0" borderId="30" xfId="0" applyNumberFormat="1" applyFont="1" applyFill="1" applyBorder="1" applyAlignment="1">
      <alignment/>
    </xf>
    <xf numFmtId="0" fontId="41" fillId="0" borderId="30" xfId="0" applyFont="1" applyFill="1" applyBorder="1" applyAlignment="1">
      <alignment/>
    </xf>
    <xf numFmtId="1" fontId="41" fillId="0" borderId="0" xfId="0" applyNumberFormat="1" applyFont="1" applyFill="1" applyBorder="1" applyAlignment="1">
      <alignment/>
    </xf>
    <xf numFmtId="1" fontId="41" fillId="0" borderId="51" xfId="0" applyNumberFormat="1" applyFont="1" applyFill="1" applyBorder="1" applyAlignment="1">
      <alignment/>
    </xf>
    <xf numFmtId="0" fontId="41" fillId="0" borderId="51" xfId="0" applyFont="1" applyFill="1" applyBorder="1" applyAlignment="1">
      <alignment/>
    </xf>
    <xf numFmtId="0" fontId="41" fillId="0" borderId="52" xfId="0" applyFont="1" applyFill="1" applyBorder="1" applyAlignment="1">
      <alignment/>
    </xf>
    <xf numFmtId="1" fontId="41" fillId="0" borderId="37" xfId="0" applyNumberFormat="1" applyFont="1" applyFill="1" applyBorder="1" applyAlignment="1">
      <alignment/>
    </xf>
    <xf numFmtId="0" fontId="41" fillId="0" borderId="37" xfId="0" applyFont="1" applyFill="1" applyBorder="1" applyAlignment="1">
      <alignment/>
    </xf>
    <xf numFmtId="0" fontId="42" fillId="0" borderId="0" xfId="0" applyFont="1" applyFill="1" applyBorder="1" applyAlignment="1">
      <alignment horizontal="center"/>
    </xf>
    <xf numFmtId="0" fontId="42" fillId="0" borderId="0" xfId="0" applyFont="1" applyFill="1" applyBorder="1" applyAlignment="1">
      <alignment wrapText="1"/>
    </xf>
    <xf numFmtId="0" fontId="42" fillId="0" borderId="0" xfId="0" applyFont="1" applyFill="1" applyBorder="1" applyAlignment="1">
      <alignment horizontal="center" wrapText="1"/>
    </xf>
    <xf numFmtId="0" fontId="42" fillId="0" borderId="47" xfId="0" applyFont="1" applyFill="1" applyBorder="1" applyAlignment="1">
      <alignment vertical="center"/>
    </xf>
    <xf numFmtId="0" fontId="42" fillId="0" borderId="31" xfId="0" applyFont="1" applyFill="1" applyBorder="1" applyAlignment="1">
      <alignment horizontal="center"/>
    </xf>
    <xf numFmtId="0" fontId="42" fillId="44" borderId="53" xfId="0" applyFont="1" applyFill="1" applyBorder="1" applyAlignment="1">
      <alignment/>
    </xf>
    <xf numFmtId="0" fontId="41" fillId="0" borderId="46" xfId="121" applyFont="1" applyFill="1" applyBorder="1">
      <alignment/>
      <protection/>
    </xf>
    <xf numFmtId="0" fontId="41" fillId="0" borderId="22" xfId="121" applyFont="1" applyFill="1" applyBorder="1">
      <alignment/>
      <protection/>
    </xf>
    <xf numFmtId="0" fontId="41" fillId="0" borderId="22" xfId="121" applyFont="1" applyFill="1" applyBorder="1" applyAlignment="1">
      <alignment horizontal="center"/>
      <protection/>
    </xf>
    <xf numFmtId="169" fontId="119" fillId="0" borderId="22" xfId="115" applyNumberFormat="1" applyFont="1" applyFill="1" applyBorder="1" applyAlignment="1">
      <alignment vertical="center"/>
    </xf>
    <xf numFmtId="0" fontId="120" fillId="0" borderId="22" xfId="0" applyFont="1" applyFill="1" applyBorder="1" applyAlignment="1">
      <alignment vertical="center"/>
    </xf>
    <xf numFmtId="207" fontId="42" fillId="0" borderId="47" xfId="0" applyNumberFormat="1" applyFont="1" applyFill="1" applyBorder="1" applyAlignment="1">
      <alignment vertical="center"/>
    </xf>
    <xf numFmtId="1" fontId="41" fillId="0" borderId="31" xfId="0" applyNumberFormat="1" applyFont="1" applyFill="1" applyBorder="1" applyAlignment="1">
      <alignment horizontal="center"/>
    </xf>
    <xf numFmtId="169" fontId="119" fillId="0" borderId="22" xfId="121" applyNumberFormat="1" applyFont="1" applyFill="1" applyBorder="1" applyAlignment="1">
      <alignment vertical="center"/>
      <protection/>
    </xf>
    <xf numFmtId="0" fontId="120" fillId="0" borderId="22" xfId="121" applyFont="1" applyFill="1" applyBorder="1" applyAlignment="1">
      <alignment vertical="center"/>
      <protection/>
    </xf>
    <xf numFmtId="207" fontId="42" fillId="0" borderId="47" xfId="121" applyNumberFormat="1" applyFont="1" applyFill="1" applyBorder="1" applyAlignment="1">
      <alignment vertical="center"/>
      <protection/>
    </xf>
    <xf numFmtId="166" fontId="42" fillId="0" borderId="47" xfId="0" applyNumberFormat="1" applyFont="1" applyFill="1" applyBorder="1" applyAlignment="1">
      <alignment vertical="center"/>
    </xf>
    <xf numFmtId="41" fontId="42" fillId="0" borderId="31" xfId="0" applyNumberFormat="1" applyFont="1" applyFill="1" applyBorder="1" applyAlignment="1">
      <alignment horizontal="center"/>
    </xf>
    <xf numFmtId="0" fontId="47" fillId="0" borderId="33" xfId="0" applyFont="1" applyFill="1" applyBorder="1" applyAlignment="1">
      <alignment horizontal="center"/>
    </xf>
    <xf numFmtId="0" fontId="42" fillId="45" borderId="35" xfId="0" applyFont="1" applyFill="1" applyBorder="1" applyAlignment="1">
      <alignment/>
    </xf>
    <xf numFmtId="0" fontId="41" fillId="45" borderId="35" xfId="0" applyFont="1" applyFill="1" applyBorder="1" applyAlignment="1">
      <alignment/>
    </xf>
    <xf numFmtId="169" fontId="42" fillId="45" borderId="35" xfId="0" applyNumberFormat="1" applyFont="1" applyFill="1" applyBorder="1" applyAlignment="1">
      <alignment vertical="center"/>
    </xf>
    <xf numFmtId="41" fontId="42" fillId="0" borderId="54" xfId="0" applyNumberFormat="1" applyFont="1" applyFill="1" applyBorder="1" applyAlignment="1">
      <alignment horizontal="center"/>
    </xf>
    <xf numFmtId="169" fontId="41" fillId="0" borderId="0" xfId="0" applyNumberFormat="1" applyFont="1" applyFill="1" applyBorder="1" applyAlignment="1">
      <alignment vertical="center"/>
    </xf>
    <xf numFmtId="41" fontId="46" fillId="0" borderId="0" xfId="0" applyNumberFormat="1" applyFont="1" applyFill="1" applyBorder="1" applyAlignment="1">
      <alignment vertical="center"/>
    </xf>
    <xf numFmtId="166" fontId="42" fillId="0" borderId="0" xfId="0" applyNumberFormat="1" applyFont="1" applyFill="1" applyBorder="1" applyAlignment="1">
      <alignment vertical="center"/>
    </xf>
    <xf numFmtId="41" fontId="42" fillId="0" borderId="0" xfId="0" applyNumberFormat="1" applyFont="1" applyFill="1" applyBorder="1" applyAlignment="1">
      <alignment horizontal="center"/>
    </xf>
    <xf numFmtId="0" fontId="41" fillId="0" borderId="23" xfId="121" applyFont="1" applyFill="1" applyBorder="1">
      <alignment/>
      <protection/>
    </xf>
    <xf numFmtId="0" fontId="47" fillId="0" borderId="55" xfId="0" applyFont="1" applyFill="1" applyBorder="1" applyAlignment="1">
      <alignment horizontal="center"/>
    </xf>
    <xf numFmtId="168" fontId="41" fillId="0" borderId="0" xfId="0" applyNumberFormat="1" applyFont="1" applyFill="1" applyBorder="1" applyAlignment="1">
      <alignment vertical="center"/>
    </xf>
    <xf numFmtId="0" fontId="46" fillId="0" borderId="0" xfId="0" applyFont="1" applyFill="1" applyBorder="1" applyAlignment="1">
      <alignment vertical="center"/>
    </xf>
    <xf numFmtId="168" fontId="42" fillId="0" borderId="0" xfId="0" applyNumberFormat="1" applyFont="1" applyFill="1" applyBorder="1" applyAlignment="1">
      <alignment vertical="center"/>
    </xf>
    <xf numFmtId="168" fontId="42" fillId="0" borderId="0" xfId="0" applyNumberFormat="1" applyFont="1" applyFill="1" applyBorder="1" applyAlignment="1">
      <alignment horizontal="center"/>
    </xf>
    <xf numFmtId="0" fontId="42" fillId="0" borderId="39" xfId="0" applyFont="1" applyFill="1" applyBorder="1" applyAlignment="1">
      <alignment/>
    </xf>
    <xf numFmtId="168" fontId="41" fillId="0" borderId="39" xfId="0" applyNumberFormat="1" applyFont="1" applyFill="1" applyBorder="1" applyAlignment="1">
      <alignment vertical="center"/>
    </xf>
    <xf numFmtId="0" fontId="46" fillId="0" borderId="39" xfId="0" applyFont="1" applyFill="1" applyBorder="1" applyAlignment="1">
      <alignment vertical="center"/>
    </xf>
    <xf numFmtId="168" fontId="42" fillId="0" borderId="29" xfId="0" applyNumberFormat="1" applyFont="1" applyFill="1" applyBorder="1" applyAlignment="1">
      <alignment vertical="center"/>
    </xf>
    <xf numFmtId="168" fontId="42" fillId="0" borderId="28" xfId="0" applyNumberFormat="1" applyFont="1" applyFill="1" applyBorder="1" applyAlignment="1">
      <alignment horizontal="center"/>
    </xf>
    <xf numFmtId="3" fontId="41" fillId="0" borderId="22" xfId="0" applyNumberFormat="1" applyFont="1" applyFill="1" applyBorder="1" applyAlignment="1">
      <alignment vertical="center"/>
    </xf>
    <xf numFmtId="0" fontId="46" fillId="0" borderId="22" xfId="0" applyFont="1" applyFill="1" applyBorder="1" applyAlignment="1">
      <alignment vertical="center"/>
    </xf>
    <xf numFmtId="168" fontId="42" fillId="0" borderId="31" xfId="0" applyNumberFormat="1" applyFont="1" applyFill="1" applyBorder="1" applyAlignment="1">
      <alignment vertical="center"/>
    </xf>
    <xf numFmtId="168" fontId="42" fillId="0" borderId="30" xfId="0" applyNumberFormat="1" applyFont="1" applyFill="1" applyBorder="1" applyAlignment="1">
      <alignment horizontal="center"/>
    </xf>
    <xf numFmtId="168" fontId="119" fillId="0" borderId="22" xfId="0" applyNumberFormat="1" applyFont="1" applyFill="1" applyBorder="1" applyAlignment="1">
      <alignment vertical="center"/>
    </xf>
    <xf numFmtId="4" fontId="42" fillId="0" borderId="31" xfId="0" applyNumberFormat="1" applyFont="1" applyFill="1" applyBorder="1" applyAlignment="1">
      <alignment vertical="center"/>
    </xf>
    <xf numFmtId="1" fontId="41" fillId="0" borderId="30" xfId="0" applyNumberFormat="1" applyFont="1" applyFill="1" applyBorder="1" applyAlignment="1">
      <alignment horizontal="center"/>
    </xf>
    <xf numFmtId="2" fontId="120" fillId="0" borderId="22" xfId="0" applyNumberFormat="1" applyFont="1" applyFill="1" applyBorder="1" applyAlignment="1">
      <alignment vertical="center"/>
    </xf>
    <xf numFmtId="168" fontId="119" fillId="0" borderId="23" xfId="0" applyNumberFormat="1" applyFont="1" applyFill="1" applyBorder="1" applyAlignment="1">
      <alignment vertical="center"/>
    </xf>
    <xf numFmtId="2" fontId="120" fillId="0" borderId="23" xfId="0" applyNumberFormat="1" applyFont="1" applyFill="1" applyBorder="1" applyAlignment="1">
      <alignment vertical="center"/>
    </xf>
    <xf numFmtId="3" fontId="42" fillId="0" borderId="30" xfId="0" applyNumberFormat="1" applyFont="1" applyFill="1" applyBorder="1" applyAlignment="1">
      <alignment horizontal="center"/>
    </xf>
    <xf numFmtId="0" fontId="42" fillId="45" borderId="41" xfId="0" applyFont="1" applyFill="1" applyBorder="1" applyAlignment="1">
      <alignment/>
    </xf>
    <xf numFmtId="0" fontId="42" fillId="45" borderId="42" xfId="0" applyFont="1" applyFill="1" applyBorder="1" applyAlignment="1">
      <alignment/>
    </xf>
    <xf numFmtId="169" fontId="42" fillId="45" borderId="56" xfId="0" applyNumberFormat="1" applyFont="1" applyFill="1" applyBorder="1" applyAlignment="1">
      <alignment vertical="center"/>
    </xf>
    <xf numFmtId="168" fontId="42" fillId="45" borderId="43" xfId="0" applyNumberFormat="1" applyFont="1" applyFill="1" applyBorder="1" applyAlignment="1">
      <alignment/>
    </xf>
    <xf numFmtId="3" fontId="42" fillId="0" borderId="37" xfId="0" applyNumberFormat="1" applyFont="1" applyFill="1" applyBorder="1" applyAlignment="1">
      <alignment horizontal="center"/>
    </xf>
    <xf numFmtId="3" fontId="41" fillId="0" borderId="0" xfId="0" applyNumberFormat="1" applyFont="1" applyFill="1" applyBorder="1" applyAlignment="1">
      <alignment/>
    </xf>
    <xf numFmtId="0" fontId="42" fillId="45" borderId="34" xfId="0" applyFont="1" applyFill="1" applyBorder="1" applyAlignment="1">
      <alignment/>
    </xf>
    <xf numFmtId="168" fontId="42" fillId="45" borderId="35" xfId="0" applyNumberFormat="1" applyFont="1" applyFill="1" applyBorder="1" applyAlignment="1">
      <alignment/>
    </xf>
    <xf numFmtId="168" fontId="42" fillId="45" borderId="36" xfId="0" applyNumberFormat="1" applyFont="1" applyFill="1" applyBorder="1" applyAlignment="1">
      <alignment/>
    </xf>
    <xf numFmtId="0" fontId="41" fillId="0" borderId="0" xfId="0" applyFont="1" applyFill="1" applyBorder="1" applyAlignment="1">
      <alignment/>
    </xf>
    <xf numFmtId="0" fontId="123" fillId="0" borderId="0" xfId="0" applyFont="1" applyFill="1" applyBorder="1" applyAlignment="1">
      <alignment vertical="center"/>
    </xf>
    <xf numFmtId="0" fontId="48" fillId="0" borderId="0" xfId="0" applyFont="1" applyFill="1" applyBorder="1" applyAlignment="1">
      <alignment vertical="center"/>
    </xf>
    <xf numFmtId="0" fontId="42" fillId="0" borderId="0" xfId="0" applyFont="1" applyFill="1" applyBorder="1" applyAlignment="1">
      <alignment horizontal="center" vertical="center" wrapText="1"/>
    </xf>
    <xf numFmtId="0" fontId="45" fillId="0" borderId="0" xfId="0" applyFont="1" applyFill="1" applyBorder="1" applyAlignment="1">
      <alignment horizontal="center"/>
    </xf>
    <xf numFmtId="0" fontId="122" fillId="0" borderId="44" xfId="0" applyFont="1" applyFill="1" applyBorder="1" applyAlignment="1">
      <alignment vertical="center"/>
    </xf>
    <xf numFmtId="0" fontId="42" fillId="0" borderId="38" xfId="0" applyFont="1" applyFill="1" applyBorder="1" applyAlignment="1">
      <alignment vertical="center"/>
    </xf>
    <xf numFmtId="0" fontId="42" fillId="0" borderId="38" xfId="0" applyFont="1" applyFill="1" applyBorder="1" applyAlignment="1">
      <alignment horizontal="center" vertical="center"/>
    </xf>
    <xf numFmtId="0" fontId="45" fillId="0" borderId="38" xfId="0" applyFont="1" applyFill="1" applyBorder="1" applyAlignment="1">
      <alignment horizontal="center" vertical="center"/>
    </xf>
    <xf numFmtId="14" fontId="41" fillId="0" borderId="0" xfId="0" applyNumberFormat="1" applyFont="1" applyFill="1" applyBorder="1" applyAlignment="1">
      <alignment horizontal="center" vertical="center"/>
    </xf>
    <xf numFmtId="0" fontId="41" fillId="0" borderId="0" xfId="121" applyFont="1" applyFill="1" applyBorder="1">
      <alignment/>
      <protection/>
    </xf>
    <xf numFmtId="168" fontId="119" fillId="0" borderId="0" xfId="0" applyNumberFormat="1" applyFont="1" applyFill="1" applyBorder="1" applyAlignment="1">
      <alignment horizontal="center" vertical="center"/>
    </xf>
    <xf numFmtId="0" fontId="120" fillId="0" borderId="0" xfId="0" applyFont="1" applyFill="1" applyBorder="1" applyAlignment="1">
      <alignment horizontal="center" vertical="center"/>
    </xf>
    <xf numFmtId="207" fontId="42" fillId="0" borderId="31" xfId="0" applyNumberFormat="1" applyFont="1" applyFill="1" applyBorder="1" applyAlignment="1">
      <alignment horizontal="center" vertical="center"/>
    </xf>
    <xf numFmtId="3" fontId="119" fillId="0" borderId="0" xfId="0" applyNumberFormat="1" applyFont="1" applyFill="1" applyBorder="1" applyAlignment="1">
      <alignment horizontal="center" vertical="center"/>
    </xf>
    <xf numFmtId="0" fontId="41" fillId="0" borderId="57" xfId="0" applyFont="1" applyFill="1" applyBorder="1" applyAlignment="1">
      <alignment vertical="center"/>
    </xf>
    <xf numFmtId="0" fontId="41" fillId="0" borderId="19" xfId="0" applyFont="1" applyFill="1" applyBorder="1" applyAlignment="1">
      <alignment horizontal="center" vertical="center"/>
    </xf>
    <xf numFmtId="0" fontId="41" fillId="0" borderId="19" xfId="121" applyFont="1" applyFill="1" applyBorder="1">
      <alignment/>
      <protection/>
    </xf>
    <xf numFmtId="3" fontId="119" fillId="0" borderId="19" xfId="0" applyNumberFormat="1" applyFont="1" applyFill="1" applyBorder="1" applyAlignment="1">
      <alignment horizontal="center" vertical="center"/>
    </xf>
    <xf numFmtId="0" fontId="120" fillId="0" borderId="19" xfId="0" applyFont="1" applyFill="1" applyBorder="1" applyAlignment="1">
      <alignment horizontal="center" vertical="center"/>
    </xf>
    <xf numFmtId="166" fontId="42" fillId="0" borderId="58" xfId="0" applyNumberFormat="1" applyFont="1" applyFill="1" applyBorder="1" applyAlignment="1">
      <alignment horizontal="center" vertical="center"/>
    </xf>
    <xf numFmtId="0" fontId="42" fillId="45" borderId="56" xfId="0" applyFont="1" applyFill="1" applyBorder="1" applyAlignment="1">
      <alignment vertical="center"/>
    </xf>
    <xf numFmtId="0" fontId="41" fillId="45" borderId="56" xfId="0" applyFont="1" applyFill="1" applyBorder="1" applyAlignment="1">
      <alignment horizontal="center" vertical="center"/>
    </xf>
    <xf numFmtId="0" fontId="41" fillId="45" borderId="56" xfId="0" applyFont="1" applyFill="1" applyBorder="1" applyAlignment="1">
      <alignment vertical="center"/>
    </xf>
    <xf numFmtId="168" fontId="42" fillId="45" borderId="56" xfId="0" applyNumberFormat="1" applyFont="1" applyFill="1" applyBorder="1" applyAlignment="1">
      <alignment horizontal="center" vertical="center"/>
    </xf>
    <xf numFmtId="0" fontId="46" fillId="45" borderId="56" xfId="0" applyFont="1" applyFill="1" applyBorder="1" applyAlignment="1">
      <alignment horizontal="center" vertical="center"/>
    </xf>
    <xf numFmtId="168" fontId="42" fillId="45" borderId="54" xfId="0" applyNumberFormat="1" applyFont="1" applyFill="1" applyBorder="1" applyAlignment="1">
      <alignment horizontal="center" vertical="center"/>
    </xf>
    <xf numFmtId="0" fontId="46" fillId="0" borderId="0" xfId="0" applyFont="1" applyFill="1" applyBorder="1" applyAlignment="1">
      <alignment horizontal="center"/>
    </xf>
    <xf numFmtId="168" fontId="42" fillId="0" borderId="0" xfId="0" applyNumberFormat="1" applyFont="1" applyFill="1" applyBorder="1" applyAlignment="1">
      <alignment horizontal="center" vertical="center"/>
    </xf>
    <xf numFmtId="0" fontId="41" fillId="0" borderId="39" xfId="0" applyFont="1" applyFill="1" applyBorder="1" applyAlignment="1">
      <alignment horizontal="center" wrapText="1"/>
    </xf>
    <xf numFmtId="2" fontId="119" fillId="0" borderId="39" xfId="0" applyNumberFormat="1" applyFont="1" applyFill="1" applyBorder="1" applyAlignment="1">
      <alignment horizontal="center"/>
    </xf>
    <xf numFmtId="1" fontId="120" fillId="0" borderId="39" xfId="0" applyNumberFormat="1" applyFont="1" applyFill="1" applyBorder="1" applyAlignment="1">
      <alignment horizontal="center"/>
    </xf>
    <xf numFmtId="4" fontId="42" fillId="0" borderId="45" xfId="0" applyNumberFormat="1" applyFont="1" applyFill="1" applyBorder="1" applyAlignment="1">
      <alignment horizontal="center"/>
    </xf>
    <xf numFmtId="1" fontId="41" fillId="0" borderId="28" xfId="0" applyNumberFormat="1" applyFont="1" applyFill="1" applyBorder="1" applyAlignment="1">
      <alignment horizontal="center" vertical="center"/>
    </xf>
    <xf numFmtId="0" fontId="42" fillId="0" borderId="52" xfId="0" applyFont="1" applyFill="1" applyBorder="1" applyAlignment="1">
      <alignment/>
    </xf>
    <xf numFmtId="0" fontId="41" fillId="0" borderId="56" xfId="0" applyFont="1" applyFill="1" applyBorder="1" applyAlignment="1">
      <alignment/>
    </xf>
    <xf numFmtId="0" fontId="41" fillId="0" borderId="56" xfId="0" applyFont="1" applyFill="1" applyBorder="1" applyAlignment="1">
      <alignment horizontal="center"/>
    </xf>
    <xf numFmtId="0" fontId="0" fillId="0" borderId="56" xfId="0" applyFont="1" applyFill="1" applyBorder="1" applyAlignment="1">
      <alignment/>
    </xf>
    <xf numFmtId="2" fontId="41" fillId="0" borderId="56" xfId="0" applyNumberFormat="1" applyFont="1" applyFill="1" applyBorder="1" applyAlignment="1">
      <alignment horizontal="center"/>
    </xf>
    <xf numFmtId="4" fontId="42" fillId="0" borderId="54" xfId="0" applyNumberFormat="1" applyFont="1" applyFill="1" applyBorder="1" applyAlignment="1">
      <alignment horizontal="center"/>
    </xf>
    <xf numFmtId="0" fontId="41" fillId="0" borderId="38" xfId="0" applyFont="1" applyFill="1" applyBorder="1" applyAlignment="1">
      <alignment/>
    </xf>
    <xf numFmtId="0" fontId="41" fillId="0" borderId="38" xfId="0" applyFont="1" applyFill="1" applyBorder="1" applyAlignment="1">
      <alignment horizontal="center"/>
    </xf>
    <xf numFmtId="168" fontId="41" fillId="0" borderId="38" xfId="0" applyNumberFormat="1" applyFont="1" applyFill="1" applyBorder="1" applyAlignment="1">
      <alignment vertical="center"/>
    </xf>
    <xf numFmtId="0" fontId="46" fillId="0" borderId="38" xfId="0" applyFont="1" applyFill="1" applyBorder="1" applyAlignment="1">
      <alignment vertical="center"/>
    </xf>
    <xf numFmtId="3" fontId="41" fillId="0" borderId="0" xfId="0" applyNumberFormat="1" applyFont="1" applyFill="1" applyBorder="1" applyAlignment="1">
      <alignment vertical="center"/>
    </xf>
    <xf numFmtId="14" fontId="41" fillId="0" borderId="0" xfId="0" applyNumberFormat="1" applyFont="1" applyFill="1" applyBorder="1" applyAlignment="1">
      <alignment horizontal="center"/>
    </xf>
    <xf numFmtId="0" fontId="41" fillId="0" borderId="0" xfId="121" applyFont="1" applyFill="1" applyBorder="1" applyAlignment="1">
      <alignment horizontal="center"/>
      <protection/>
    </xf>
    <xf numFmtId="168" fontId="119" fillId="0" borderId="0" xfId="0" applyNumberFormat="1" applyFont="1" applyFill="1" applyBorder="1" applyAlignment="1">
      <alignment vertical="center"/>
    </xf>
    <xf numFmtId="0" fontId="120" fillId="0" borderId="0" xfId="0" applyFont="1" applyFill="1" applyBorder="1" applyAlignment="1">
      <alignment vertical="center"/>
    </xf>
    <xf numFmtId="212" fontId="42" fillId="0" borderId="31" xfId="0" applyNumberFormat="1" applyFont="1" applyFill="1" applyBorder="1" applyAlignment="1">
      <alignment vertical="center"/>
    </xf>
    <xf numFmtId="168" fontId="119" fillId="0" borderId="19" xfId="0" applyNumberFormat="1" applyFont="1" applyFill="1" applyBorder="1" applyAlignment="1">
      <alignment vertical="center"/>
    </xf>
    <xf numFmtId="2" fontId="120" fillId="0" borderId="0" xfId="0" applyNumberFormat="1" applyFont="1" applyFill="1" applyBorder="1" applyAlignment="1">
      <alignment vertical="center"/>
    </xf>
    <xf numFmtId="0" fontId="42" fillId="45" borderId="42" xfId="0" applyFont="1" applyFill="1" applyBorder="1" applyAlignment="1">
      <alignment horizontal="center"/>
    </xf>
    <xf numFmtId="0" fontId="41" fillId="45" borderId="42" xfId="0" applyFont="1" applyFill="1" applyBorder="1" applyAlignment="1">
      <alignment/>
    </xf>
    <xf numFmtId="212" fontId="42" fillId="45" borderId="43" xfId="0" applyNumberFormat="1" applyFont="1" applyFill="1" applyBorder="1" applyAlignment="1">
      <alignment/>
    </xf>
    <xf numFmtId="0" fontId="0" fillId="0" borderId="40" xfId="0" applyFont="1" applyFill="1" applyBorder="1" applyAlignment="1">
      <alignment horizontal="center"/>
    </xf>
    <xf numFmtId="0" fontId="0" fillId="0" borderId="28" xfId="0" applyFont="1" applyFill="1" applyBorder="1" applyAlignment="1">
      <alignment/>
    </xf>
    <xf numFmtId="168" fontId="41" fillId="0" borderId="31" xfId="0" applyNumberFormat="1" applyFont="1" applyFill="1" applyBorder="1" applyAlignment="1">
      <alignment vertical="center"/>
    </xf>
    <xf numFmtId="0" fontId="0" fillId="0" borderId="31" xfId="0" applyFont="1" applyFill="1" applyBorder="1" applyAlignment="1">
      <alignment/>
    </xf>
    <xf numFmtId="0" fontId="0" fillId="0" borderId="30" xfId="0" applyFont="1" applyFill="1" applyBorder="1" applyAlignment="1">
      <alignment/>
    </xf>
    <xf numFmtId="169" fontId="42" fillId="45" borderId="42" xfId="0" applyNumberFormat="1" applyFont="1" applyFill="1" applyBorder="1" applyAlignment="1">
      <alignment vertical="center"/>
    </xf>
    <xf numFmtId="0" fontId="0" fillId="0" borderId="0" xfId="0" applyFont="1" applyFill="1" applyBorder="1" applyAlignment="1">
      <alignment horizontal="center"/>
    </xf>
    <xf numFmtId="0" fontId="42" fillId="45" borderId="35" xfId="0" applyFont="1" applyFill="1" applyBorder="1" applyAlignment="1">
      <alignment horizontal="center"/>
    </xf>
    <xf numFmtId="169" fontId="42" fillId="45" borderId="36" xfId="0" applyNumberFormat="1" applyFont="1" applyFill="1" applyBorder="1" applyAlignment="1">
      <alignment vertical="center"/>
    </xf>
    <xf numFmtId="3" fontId="42" fillId="0" borderId="40" xfId="0" applyNumberFormat="1" applyFont="1" applyFill="1" applyBorder="1" applyAlignment="1">
      <alignment horizontal="center"/>
    </xf>
    <xf numFmtId="0" fontId="41" fillId="0" borderId="28" xfId="0" applyFont="1" applyFill="1" applyBorder="1" applyAlignment="1">
      <alignment horizontal="left" vertical="center"/>
    </xf>
    <xf numFmtId="166" fontId="0" fillId="0" borderId="0" xfId="0" applyNumberFormat="1" applyFont="1" applyFill="1" applyBorder="1" applyAlignment="1">
      <alignment horizontal="center"/>
    </xf>
    <xf numFmtId="0" fontId="0" fillId="0" borderId="31" xfId="0" applyFont="1" applyFill="1" applyBorder="1" applyAlignment="1">
      <alignment horizontal="center"/>
    </xf>
    <xf numFmtId="166" fontId="0" fillId="0" borderId="40" xfId="0" applyNumberFormat="1" applyFont="1" applyFill="1" applyBorder="1" applyAlignment="1">
      <alignment horizontal="center"/>
    </xf>
    <xf numFmtId="0" fontId="46" fillId="0" borderId="30" xfId="0" applyFont="1" applyFill="1" applyBorder="1" applyAlignment="1">
      <alignment horizontal="right" vertical="center"/>
    </xf>
    <xf numFmtId="166" fontId="10" fillId="0" borderId="0" xfId="0" applyNumberFormat="1" applyFont="1" applyFill="1" applyBorder="1" applyAlignment="1">
      <alignment/>
    </xf>
    <xf numFmtId="166" fontId="10" fillId="0" borderId="40" xfId="0" applyNumberFormat="1" applyFont="1" applyFill="1" applyBorder="1" applyAlignment="1">
      <alignment/>
    </xf>
    <xf numFmtId="0" fontId="10" fillId="0" borderId="31" xfId="0" applyFont="1" applyFill="1" applyBorder="1" applyAlignment="1">
      <alignment/>
    </xf>
    <xf numFmtId="0" fontId="46" fillId="0" borderId="30" xfId="0" applyFont="1" applyFill="1" applyBorder="1" applyAlignment="1" quotePrefix="1">
      <alignment horizontal="right" vertical="center"/>
    </xf>
    <xf numFmtId="166" fontId="0" fillId="0" borderId="40" xfId="0" applyNumberFormat="1" applyFont="1" applyFill="1" applyBorder="1" applyAlignment="1">
      <alignment/>
    </xf>
    <xf numFmtId="0" fontId="41" fillId="0" borderId="30" xfId="0" applyFont="1" applyFill="1" applyBorder="1" applyAlignment="1">
      <alignment horizontal="left" vertical="center"/>
    </xf>
    <xf numFmtId="166" fontId="0" fillId="0" borderId="0" xfId="0" applyNumberFormat="1" applyFont="1" applyFill="1" applyBorder="1" applyAlignment="1">
      <alignment/>
    </xf>
    <xf numFmtId="0" fontId="42" fillId="42" borderId="34" xfId="0" applyFont="1" applyFill="1" applyBorder="1" applyAlignment="1">
      <alignment horizontal="left" vertical="center"/>
    </xf>
    <xf numFmtId="166" fontId="1" fillId="42" borderId="34" xfId="0" applyNumberFormat="1" applyFont="1" applyFill="1" applyBorder="1" applyAlignment="1">
      <alignment horizontal="center"/>
    </xf>
    <xf numFmtId="0" fontId="1" fillId="42" borderId="36" xfId="0" applyFont="1" applyFill="1" applyBorder="1" applyAlignment="1">
      <alignment horizontal="center"/>
    </xf>
    <xf numFmtId="3" fontId="41" fillId="0" borderId="0" xfId="0" applyNumberFormat="1" applyFont="1" applyFill="1" applyBorder="1" applyAlignment="1">
      <alignment horizontal="center" vertical="center"/>
    </xf>
    <xf numFmtId="0" fontId="42" fillId="45" borderId="53" xfId="0" applyFont="1" applyFill="1" applyBorder="1" applyAlignment="1">
      <alignment horizontal="left" vertical="center"/>
    </xf>
    <xf numFmtId="3" fontId="42" fillId="45" borderId="53" xfId="0" applyNumberFormat="1" applyFont="1" applyFill="1" applyBorder="1" applyAlignment="1">
      <alignment horizontal="center" vertical="center"/>
    </xf>
    <xf numFmtId="0" fontId="41" fillId="0" borderId="34" xfId="0" applyFont="1" applyFill="1" applyBorder="1" applyAlignment="1">
      <alignment horizontal="left" vertical="center"/>
    </xf>
    <xf numFmtId="1" fontId="41" fillId="0" borderId="53" xfId="0" applyNumberFormat="1" applyFont="1" applyFill="1" applyBorder="1" applyAlignment="1">
      <alignment horizontal="center" vertical="center"/>
    </xf>
    <xf numFmtId="0" fontId="41" fillId="0" borderId="36" xfId="0" applyFont="1" applyFill="1" applyBorder="1" applyAlignment="1">
      <alignment horizontal="center" vertical="center"/>
    </xf>
    <xf numFmtId="0" fontId="0" fillId="0" borderId="30" xfId="0" applyFont="1" applyFill="1" applyBorder="1" applyAlignment="1">
      <alignment horizontal="center"/>
    </xf>
    <xf numFmtId="0" fontId="122" fillId="46" borderId="53" xfId="0" applyFont="1" applyFill="1" applyBorder="1" applyAlignment="1">
      <alignment horizontal="center" vertical="center" wrapText="1"/>
    </xf>
    <xf numFmtId="0" fontId="122" fillId="46" borderId="28" xfId="0" applyFont="1" applyFill="1" applyBorder="1" applyAlignment="1">
      <alignment horizontal="center" vertical="center" wrapText="1"/>
    </xf>
    <xf numFmtId="0" fontId="122" fillId="46" borderId="53" xfId="0" applyFont="1" applyFill="1" applyBorder="1" applyAlignment="1">
      <alignment vertical="center"/>
    </xf>
    <xf numFmtId="0" fontId="122" fillId="46" borderId="34" xfId="0" applyFont="1" applyFill="1" applyBorder="1" applyAlignment="1">
      <alignment horizontal="center" vertical="center" wrapText="1"/>
    </xf>
    <xf numFmtId="0" fontId="122" fillId="46" borderId="35" xfId="0" applyFont="1" applyFill="1" applyBorder="1" applyAlignment="1">
      <alignment horizontal="center" vertical="center" wrapText="1"/>
    </xf>
    <xf numFmtId="0" fontId="124" fillId="46" borderId="35" xfId="0" applyFont="1" applyFill="1" applyBorder="1" applyAlignment="1">
      <alignment horizontal="center" vertical="center" wrapText="1"/>
    </xf>
    <xf numFmtId="0" fontId="122" fillId="46" borderId="36" xfId="0" applyFont="1" applyFill="1" applyBorder="1" applyAlignment="1">
      <alignment horizontal="center" vertical="center" wrapText="1"/>
    </xf>
    <xf numFmtId="0" fontId="122" fillId="46" borderId="34" xfId="0" applyFont="1" applyFill="1" applyBorder="1" applyAlignment="1">
      <alignment horizontal="center"/>
    </xf>
    <xf numFmtId="0" fontId="122" fillId="46" borderId="53" xfId="0" applyFont="1" applyFill="1" applyBorder="1" applyAlignment="1">
      <alignment horizontal="center"/>
    </xf>
    <xf numFmtId="0" fontId="122" fillId="46" borderId="53" xfId="0" applyFont="1" applyFill="1" applyBorder="1" applyAlignment="1">
      <alignment horizontal="center" vertical="center"/>
    </xf>
    <xf numFmtId="0" fontId="122" fillId="46" borderId="44" xfId="0" applyFont="1" applyFill="1" applyBorder="1" applyAlignment="1">
      <alignment horizontal="center" vertical="center"/>
    </xf>
    <xf numFmtId="0" fontId="122" fillId="46" borderId="52" xfId="0" applyFont="1" applyFill="1" applyBorder="1" applyAlignment="1">
      <alignment horizontal="center" vertical="center"/>
    </xf>
    <xf numFmtId="0" fontId="122" fillId="46" borderId="54" xfId="0" applyFont="1" applyFill="1" applyBorder="1" applyAlignment="1">
      <alignment horizontal="center" vertical="center"/>
    </xf>
    <xf numFmtId="0" fontId="122" fillId="46" borderId="35" xfId="0" applyFont="1" applyFill="1" applyBorder="1" applyAlignment="1">
      <alignment horizontal="center" vertical="center"/>
    </xf>
    <xf numFmtId="0" fontId="122" fillId="46" borderId="34" xfId="0" applyFont="1" applyFill="1" applyBorder="1" applyAlignment="1">
      <alignment horizontal="center" vertical="center" wrapText="1"/>
    </xf>
    <xf numFmtId="0" fontId="122" fillId="46" borderId="36" xfId="0" applyFont="1" applyFill="1" applyBorder="1" applyAlignment="1">
      <alignment horizontal="center" vertical="center" wrapText="1"/>
    </xf>
    <xf numFmtId="0" fontId="122" fillId="46" borderId="35" xfId="0" applyFont="1" applyFill="1" applyBorder="1" applyAlignment="1">
      <alignment horizontal="center" vertical="center" wrapText="1"/>
    </xf>
    <xf numFmtId="3" fontId="1" fillId="0" borderId="19" xfId="109" applyNumberFormat="1" applyFont="1" applyFill="1" applyBorder="1" applyAlignment="1">
      <alignment vertical="center"/>
    </xf>
    <xf numFmtId="4" fontId="6" fillId="0" borderId="0" xfId="109" applyNumberFormat="1" applyFont="1" applyFill="1" applyBorder="1" applyAlignment="1">
      <alignment vertical="center"/>
    </xf>
    <xf numFmtId="0" fontId="105" fillId="0" borderId="0" xfId="0" applyFont="1" applyBorder="1" applyAlignment="1">
      <alignment horizontal="right"/>
    </xf>
    <xf numFmtId="0" fontId="0" fillId="0" borderId="1" xfId="0" applyFont="1" applyFill="1" applyBorder="1" applyAlignment="1">
      <alignment/>
    </xf>
    <xf numFmtId="3" fontId="105" fillId="0" borderId="0" xfId="0" applyNumberFormat="1" applyFont="1" applyFill="1" applyBorder="1" applyAlignment="1">
      <alignment horizontal="right"/>
    </xf>
    <xf numFmtId="3" fontId="105" fillId="0" borderId="19" xfId="0" applyNumberFormat="1" applyFont="1" applyFill="1" applyBorder="1" applyAlignment="1">
      <alignment horizontal="right"/>
    </xf>
    <xf numFmtId="3" fontId="1" fillId="0" borderId="19" xfId="109" applyNumberFormat="1" applyFont="1" applyFill="1" applyBorder="1" applyAlignment="1">
      <alignment/>
    </xf>
    <xf numFmtId="0" fontId="122" fillId="46" borderId="34" xfId="0" applyFont="1" applyFill="1" applyBorder="1" applyAlignment="1">
      <alignment horizontal="center" vertical="center" wrapText="1"/>
    </xf>
    <xf numFmtId="0" fontId="122" fillId="46" borderId="36" xfId="0" applyFont="1" applyFill="1" applyBorder="1" applyAlignment="1">
      <alignment horizontal="center" vertical="center" wrapText="1"/>
    </xf>
    <xf numFmtId="0" fontId="122" fillId="46" borderId="35" xfId="0" applyFont="1" applyFill="1" applyBorder="1" applyAlignment="1">
      <alignment horizontal="center" vertical="center" wrapText="1"/>
    </xf>
    <xf numFmtId="3" fontId="6" fillId="0" borderId="0" xfId="109" applyNumberFormat="1" applyFont="1" applyFill="1" applyBorder="1" applyAlignment="1">
      <alignment horizontal="right" vertical="center"/>
    </xf>
    <xf numFmtId="3" fontId="0" fillId="0" borderId="19" xfId="109" applyNumberFormat="1" applyFont="1" applyFill="1" applyBorder="1" applyAlignment="1">
      <alignment horizontal="right"/>
    </xf>
    <xf numFmtId="3" fontId="105" fillId="0" borderId="20" xfId="109" applyNumberFormat="1" applyFont="1" applyFill="1" applyBorder="1" applyAlignment="1">
      <alignment horizontal="right"/>
    </xf>
    <xf numFmtId="3" fontId="105" fillId="0" borderId="20" xfId="0" applyNumberFormat="1" applyFont="1" applyFill="1" applyBorder="1" applyAlignment="1">
      <alignment horizontal="right"/>
    </xf>
    <xf numFmtId="3" fontId="6" fillId="0" borderId="17" xfId="109" applyNumberFormat="1" applyFont="1" applyFill="1" applyBorder="1" applyAlignment="1">
      <alignment horizontal="right" vertical="center"/>
    </xf>
    <xf numFmtId="3" fontId="6" fillId="0" borderId="0" xfId="109" applyNumberFormat="1" applyFont="1" applyFill="1" applyBorder="1" applyAlignment="1">
      <alignment horizontal="right"/>
    </xf>
    <xf numFmtId="3" fontId="0" fillId="0" borderId="0" xfId="0" applyNumberFormat="1" applyFont="1" applyBorder="1" applyAlignment="1">
      <alignment/>
    </xf>
    <xf numFmtId="0" fontId="0" fillId="0" borderId="18" xfId="0" applyFont="1" applyBorder="1" applyAlignment="1">
      <alignment/>
    </xf>
    <xf numFmtId="0" fontId="105" fillId="0" borderId="18" xfId="0" applyFont="1" applyBorder="1" applyAlignment="1">
      <alignment/>
    </xf>
    <xf numFmtId="0" fontId="0" fillId="0" borderId="18" xfId="0" applyNumberFormat="1" applyFont="1" applyFill="1" applyBorder="1" applyAlignment="1">
      <alignment/>
    </xf>
    <xf numFmtId="0" fontId="0" fillId="0" borderId="18" xfId="0" applyFont="1" applyBorder="1" applyAlignment="1">
      <alignment/>
    </xf>
    <xf numFmtId="0" fontId="0" fillId="0" borderId="18" xfId="0" applyFont="1" applyFill="1" applyBorder="1" applyAlignment="1">
      <alignment vertical="center"/>
    </xf>
    <xf numFmtId="0" fontId="10" fillId="0" borderId="18" xfId="0" applyFont="1" applyFill="1" applyBorder="1" applyAlignment="1">
      <alignment vertical="center"/>
    </xf>
    <xf numFmtId="0" fontId="1" fillId="0" borderId="19" xfId="0" applyFont="1" applyBorder="1" applyAlignment="1">
      <alignment/>
    </xf>
    <xf numFmtId="0" fontId="0" fillId="0" borderId="17" xfId="0" applyFont="1" applyBorder="1" applyAlignment="1">
      <alignment/>
    </xf>
    <xf numFmtId="3" fontId="0" fillId="0" borderId="1" xfId="0" applyNumberFormat="1" applyFont="1" applyFill="1" applyBorder="1" applyAlignment="1">
      <alignment/>
    </xf>
    <xf numFmtId="3" fontId="0" fillId="0" borderId="17" xfId="0" applyNumberFormat="1" applyFont="1" applyBorder="1" applyAlignment="1">
      <alignment/>
    </xf>
    <xf numFmtId="3" fontId="0" fillId="0" borderId="1" xfId="0" applyNumberFormat="1" applyFont="1" applyBorder="1" applyAlignment="1">
      <alignment/>
    </xf>
    <xf numFmtId="3" fontId="0" fillId="0" borderId="18" xfId="0" applyNumberFormat="1" applyFont="1" applyBorder="1" applyAlignment="1">
      <alignment/>
    </xf>
    <xf numFmtId="3" fontId="0" fillId="0" borderId="1" xfId="0" applyNumberFormat="1" applyFont="1" applyBorder="1" applyAlignment="1">
      <alignment/>
    </xf>
    <xf numFmtId="3" fontId="0" fillId="0" borderId="1" xfId="0" applyNumberFormat="1" applyFont="1" applyFill="1" applyBorder="1" applyAlignment="1">
      <alignment/>
    </xf>
    <xf numFmtId="0" fontId="41" fillId="0" borderId="40" xfId="0" applyFont="1" applyFill="1" applyBorder="1" applyAlignment="1">
      <alignment/>
    </xf>
    <xf numFmtId="0" fontId="41" fillId="0" borderId="57" xfId="0" applyFont="1" applyFill="1" applyBorder="1" applyAlignment="1">
      <alignment/>
    </xf>
    <xf numFmtId="4" fontId="42" fillId="42" borderId="35" xfId="0" applyNumberFormat="1" applyFont="1" applyFill="1" applyBorder="1" applyAlignment="1">
      <alignment horizontal="center"/>
    </xf>
    <xf numFmtId="4" fontId="42" fillId="42" borderId="36" xfId="0" applyNumberFormat="1" applyFont="1" applyFill="1" applyBorder="1" applyAlignment="1">
      <alignment horizontal="center"/>
    </xf>
    <xf numFmtId="221" fontId="41" fillId="0" borderId="0" xfId="0" applyNumberFormat="1" applyFont="1" applyFill="1" applyBorder="1" applyAlignment="1">
      <alignment/>
    </xf>
    <xf numFmtId="0" fontId="124" fillId="46" borderId="53" xfId="0" applyFont="1" applyFill="1" applyBorder="1" applyAlignment="1">
      <alignment horizontal="center" vertical="center" wrapText="1"/>
    </xf>
    <xf numFmtId="0" fontId="40" fillId="0" borderId="0" xfId="0" applyFont="1" applyFill="1" applyBorder="1" applyAlignment="1" quotePrefix="1">
      <alignment vertical="center"/>
    </xf>
    <xf numFmtId="0" fontId="122" fillId="46" borderId="34" xfId="0" applyFont="1" applyFill="1" applyBorder="1" applyAlignment="1">
      <alignment horizontal="center" vertical="center" wrapText="1"/>
    </xf>
    <xf numFmtId="0" fontId="122" fillId="46" borderId="36" xfId="0" applyFont="1" applyFill="1" applyBorder="1" applyAlignment="1">
      <alignment horizontal="center" vertical="center" wrapText="1"/>
    </xf>
    <xf numFmtId="0" fontId="122" fillId="46" borderId="35" xfId="0" applyFont="1" applyFill="1" applyBorder="1" applyAlignment="1">
      <alignment horizontal="center" vertical="center" wrapText="1"/>
    </xf>
    <xf numFmtId="0" fontId="122" fillId="46" borderId="34" xfId="0" applyFont="1" applyFill="1" applyBorder="1" applyAlignment="1">
      <alignment horizontal="center" vertical="center"/>
    </xf>
    <xf numFmtId="0" fontId="42" fillId="45" borderId="56" xfId="0" applyFont="1" applyFill="1" applyBorder="1" applyAlignment="1">
      <alignment/>
    </xf>
    <xf numFmtId="0" fontId="41" fillId="45" borderId="56" xfId="0" applyFont="1" applyFill="1" applyBorder="1" applyAlignment="1">
      <alignment/>
    </xf>
    <xf numFmtId="41" fontId="45" fillId="45" borderId="56" xfId="0" applyNumberFormat="1" applyFont="1" applyFill="1" applyBorder="1" applyAlignment="1">
      <alignment vertical="center"/>
    </xf>
    <xf numFmtId="166" fontId="42" fillId="45" borderId="54" xfId="0" applyNumberFormat="1" applyFont="1" applyFill="1" applyBorder="1" applyAlignment="1">
      <alignment vertical="center"/>
    </xf>
    <xf numFmtId="169" fontId="41" fillId="0" borderId="23" xfId="0" applyNumberFormat="1" applyFont="1" applyFill="1" applyBorder="1" applyAlignment="1">
      <alignment vertical="center"/>
    </xf>
    <xf numFmtId="41" fontId="46" fillId="0" borderId="23" xfId="0" applyNumberFormat="1" applyFont="1" applyFill="1" applyBorder="1" applyAlignment="1">
      <alignment vertical="center"/>
    </xf>
    <xf numFmtId="166" fontId="42" fillId="0" borderId="49" xfId="0" applyNumberFormat="1" applyFont="1" applyFill="1" applyBorder="1" applyAlignment="1">
      <alignment vertical="center"/>
    </xf>
    <xf numFmtId="1" fontId="41" fillId="0" borderId="31" xfId="0" applyNumberFormat="1" applyFont="1" applyFill="1" applyBorder="1" applyAlignment="1">
      <alignment horizontal="center" vertical="center"/>
    </xf>
    <xf numFmtId="0" fontId="122" fillId="46" borderId="36" xfId="0" applyFont="1" applyFill="1" applyBorder="1" applyAlignment="1">
      <alignment horizontal="center" vertical="center"/>
    </xf>
    <xf numFmtId="0" fontId="125" fillId="46" borderId="35" xfId="0" applyFont="1" applyFill="1" applyBorder="1" applyAlignment="1">
      <alignment vertical="center"/>
    </xf>
    <xf numFmtId="0" fontId="125" fillId="46" borderId="36" xfId="0" applyFont="1" applyFill="1" applyBorder="1" applyAlignment="1">
      <alignment horizontal="center" vertical="center"/>
    </xf>
    <xf numFmtId="0" fontId="122" fillId="0" borderId="0" xfId="0" applyFont="1" applyFill="1" applyBorder="1" applyAlignment="1">
      <alignment vertical="center"/>
    </xf>
    <xf numFmtId="0" fontId="42" fillId="0" borderId="22" xfId="0" applyFont="1" applyFill="1" applyBorder="1" applyAlignment="1">
      <alignment vertical="center"/>
    </xf>
    <xf numFmtId="0" fontId="42" fillId="0" borderId="22" xfId="0" applyFont="1" applyFill="1" applyBorder="1" applyAlignment="1">
      <alignment horizontal="center" vertical="center"/>
    </xf>
    <xf numFmtId="0" fontId="45" fillId="0" borderId="22" xfId="0" applyFont="1" applyFill="1" applyBorder="1" applyAlignment="1">
      <alignment horizontal="center" vertical="center"/>
    </xf>
    <xf numFmtId="0" fontId="42" fillId="0" borderId="59" xfId="0" applyFont="1" applyFill="1" applyBorder="1" applyAlignment="1">
      <alignment/>
    </xf>
    <xf numFmtId="0" fontId="93" fillId="46" borderId="53" xfId="0" applyFont="1" applyFill="1" applyBorder="1" applyAlignment="1">
      <alignment/>
    </xf>
    <xf numFmtId="3" fontId="108" fillId="0" borderId="18" xfId="109" applyNumberFormat="1" applyFont="1" applyFill="1" applyBorder="1" applyAlignment="1">
      <alignment/>
    </xf>
    <xf numFmtId="3" fontId="10" fillId="0" borderId="18" xfId="109" applyNumberFormat="1" applyFont="1" applyFill="1" applyBorder="1" applyAlignment="1">
      <alignment vertical="center"/>
    </xf>
    <xf numFmtId="3" fontId="105" fillId="0" borderId="18" xfId="109" applyNumberFormat="1" applyFont="1" applyFill="1" applyBorder="1" applyAlignment="1">
      <alignment horizontal="right"/>
    </xf>
    <xf numFmtId="0" fontId="115" fillId="0" borderId="18" xfId="0" applyFont="1" applyBorder="1" applyAlignment="1">
      <alignment/>
    </xf>
    <xf numFmtId="3" fontId="105" fillId="0" borderId="18" xfId="0" applyNumberFormat="1" applyFont="1" applyBorder="1" applyAlignment="1">
      <alignment/>
    </xf>
    <xf numFmtId="3" fontId="105" fillId="0" borderId="17" xfId="0" applyNumberFormat="1" applyFont="1" applyBorder="1" applyAlignment="1">
      <alignment/>
    </xf>
    <xf numFmtId="3" fontId="1" fillId="33" borderId="24" xfId="0" applyNumberFormat="1" applyFont="1" applyFill="1" applyBorder="1" applyAlignment="1">
      <alignment/>
    </xf>
    <xf numFmtId="3" fontId="0" fillId="0" borderId="25" xfId="0" applyNumberFormat="1" applyFont="1" applyBorder="1" applyAlignment="1">
      <alignment/>
    </xf>
    <xf numFmtId="0" fontId="0" fillId="0" borderId="1" xfId="0" applyFont="1" applyBorder="1" applyAlignment="1">
      <alignment/>
    </xf>
    <xf numFmtId="0" fontId="1" fillId="0" borderId="21" xfId="0" applyFont="1" applyFill="1" applyBorder="1" applyAlignment="1">
      <alignment/>
    </xf>
    <xf numFmtId="3" fontId="4" fillId="39" borderId="21" xfId="0" applyNumberFormat="1" applyFont="1" applyFill="1" applyBorder="1" applyAlignment="1">
      <alignment horizontal="center" vertical="center"/>
    </xf>
    <xf numFmtId="3" fontId="4" fillId="39" borderId="23" xfId="0" applyNumberFormat="1" applyFont="1" applyFill="1" applyBorder="1" applyAlignment="1">
      <alignment horizontal="center" vertical="center"/>
    </xf>
    <xf numFmtId="3" fontId="4" fillId="39" borderId="25" xfId="0" applyNumberFormat="1" applyFont="1" applyFill="1" applyBorder="1" applyAlignment="1">
      <alignment horizontal="center" vertical="center"/>
    </xf>
    <xf numFmtId="3" fontId="4" fillId="39" borderId="24" xfId="0" applyNumberFormat="1" applyFont="1" applyFill="1" applyBorder="1" applyAlignment="1">
      <alignment horizontal="center" vertical="center"/>
    </xf>
    <xf numFmtId="3" fontId="1" fillId="41" borderId="1" xfId="0" applyNumberFormat="1" applyFont="1" applyFill="1" applyBorder="1" applyAlignment="1">
      <alignment horizontal="center"/>
    </xf>
    <xf numFmtId="3" fontId="1" fillId="41" borderId="26" xfId="0" applyNumberFormat="1" applyFont="1" applyFill="1" applyBorder="1" applyAlignment="1">
      <alignment horizontal="center"/>
    </xf>
    <xf numFmtId="3" fontId="118" fillId="41" borderId="1" xfId="0" applyNumberFormat="1" applyFont="1" applyFill="1" applyBorder="1" applyAlignment="1">
      <alignment horizontal="center"/>
    </xf>
    <xf numFmtId="3" fontId="118" fillId="41" borderId="26" xfId="0" applyNumberFormat="1" applyFont="1" applyFill="1" applyBorder="1" applyAlignment="1">
      <alignment horizontal="center"/>
    </xf>
    <xf numFmtId="3" fontId="118" fillId="41" borderId="0" xfId="0" applyNumberFormat="1" applyFont="1" applyFill="1" applyBorder="1" applyAlignment="1">
      <alignment horizontal="center"/>
    </xf>
    <xf numFmtId="3" fontId="118" fillId="41" borderId="18" xfId="0" applyNumberFormat="1" applyFont="1" applyFill="1" applyBorder="1" applyAlignment="1">
      <alignment horizontal="center"/>
    </xf>
    <xf numFmtId="0" fontId="4" fillId="39" borderId="21" xfId="0" applyFont="1" applyFill="1" applyBorder="1" applyAlignment="1">
      <alignment horizontal="center" vertical="center"/>
    </xf>
    <xf numFmtId="0" fontId="4" fillId="39" borderId="23" xfId="0" applyFont="1" applyFill="1" applyBorder="1" applyAlignment="1">
      <alignment horizontal="center" vertical="center"/>
    </xf>
    <xf numFmtId="3" fontId="118" fillId="41" borderId="25" xfId="0" applyNumberFormat="1" applyFont="1" applyFill="1" applyBorder="1" applyAlignment="1">
      <alignment horizontal="center"/>
    </xf>
    <xf numFmtId="167" fontId="5" fillId="41" borderId="24" xfId="0" applyNumberFormat="1" applyFont="1" applyFill="1" applyBorder="1" applyAlignment="1">
      <alignment horizontal="center" vertical="center"/>
    </xf>
    <xf numFmtId="167" fontId="5" fillId="41" borderId="19" xfId="0" applyNumberFormat="1" applyFont="1" applyFill="1" applyBorder="1" applyAlignment="1">
      <alignment horizontal="center" vertical="center"/>
    </xf>
    <xf numFmtId="0" fontId="122" fillId="46" borderId="34" xfId="0" applyFont="1" applyFill="1" applyBorder="1" applyAlignment="1">
      <alignment horizontal="center" vertical="center" wrapText="1"/>
    </xf>
    <xf numFmtId="0" fontId="122" fillId="46" borderId="36" xfId="0" applyFont="1" applyFill="1" applyBorder="1" applyAlignment="1">
      <alignment horizontal="center" vertical="center" wrapText="1"/>
    </xf>
    <xf numFmtId="0" fontId="122" fillId="46" borderId="35" xfId="0" applyFont="1" applyFill="1" applyBorder="1" applyAlignment="1">
      <alignment horizontal="center" vertical="center" wrapText="1"/>
    </xf>
    <xf numFmtId="0" fontId="122" fillId="46" borderId="44" xfId="0" applyFont="1" applyFill="1" applyBorder="1" applyAlignment="1">
      <alignment horizontal="center" vertical="center"/>
    </xf>
    <xf numFmtId="0" fontId="122" fillId="46" borderId="29" xfId="0" applyFont="1" applyFill="1" applyBorder="1" applyAlignment="1">
      <alignment horizontal="center" vertical="center"/>
    </xf>
  </cellXfs>
  <cellStyles count="1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4025-363" xfId="27"/>
    <cellStyle name="60% - Colore 1" xfId="28"/>
    <cellStyle name="60% - Colore 2" xfId="29"/>
    <cellStyle name="60% - Colore 3" xfId="30"/>
    <cellStyle name="60% - Colore 4" xfId="31"/>
    <cellStyle name="60% - Colore 5" xfId="32"/>
    <cellStyle name="60% - Colore 6" xfId="33"/>
    <cellStyle name="aaa" xfId="34"/>
    <cellStyle name="b" xfId="35"/>
    <cellStyle name="Bloccato" xfId="36"/>
    <cellStyle name="CALC Amount" xfId="37"/>
    <cellStyle name="CALC Amount [1]" xfId="38"/>
    <cellStyle name="CALC Amount [2]" xfId="39"/>
    <cellStyle name="CALC Amount Total" xfId="40"/>
    <cellStyle name="CALC Amount Total [1]" xfId="41"/>
    <cellStyle name="CALC Amount Total [2]" xfId="42"/>
    <cellStyle name="CALC Amount 'x'" xfId="43"/>
    <cellStyle name="CALC Currency" xfId="44"/>
    <cellStyle name="CALC Currency [1]" xfId="45"/>
    <cellStyle name="CALC Currency [2]" xfId="46"/>
    <cellStyle name="CALC Currency Total" xfId="47"/>
    <cellStyle name="CALC Currency Total [1]" xfId="48"/>
    <cellStyle name="CALC Currency Total [2]" xfId="49"/>
    <cellStyle name="CALC Date Long" xfId="50"/>
    <cellStyle name="CALC Date Short" xfId="51"/>
    <cellStyle name="CALC Percent" xfId="52"/>
    <cellStyle name="CALC Percent [1]" xfId="53"/>
    <cellStyle name="CALC Percent [2]" xfId="54"/>
    <cellStyle name="CALC Percent Total" xfId="55"/>
    <cellStyle name="CALC Percent Total [1]" xfId="56"/>
    <cellStyle name="CALC Percent Total [2]" xfId="57"/>
    <cellStyle name="Calcolo" xfId="58"/>
    <cellStyle name="Cella collegata" xfId="59"/>
    <cellStyle name="Cella da controllare" xfId="60"/>
    <cellStyle name="Hyperlink" xfId="61"/>
    <cellStyle name="Followed Hyperlink" xfId="62"/>
    <cellStyle name="Colore 1" xfId="63"/>
    <cellStyle name="Colore 2" xfId="64"/>
    <cellStyle name="Colore 3" xfId="65"/>
    <cellStyle name="Colore 4" xfId="66"/>
    <cellStyle name="Colore 5" xfId="67"/>
    <cellStyle name="Colore 6" xfId="68"/>
    <cellStyle name="Comma [1]" xfId="69"/>
    <cellStyle name="Comma [2]" xfId="70"/>
    <cellStyle name="Comma [3]" xfId="71"/>
    <cellStyle name="DATA Amount" xfId="72"/>
    <cellStyle name="DATA Amount [1]" xfId="73"/>
    <cellStyle name="DATA Amount [2]" xfId="74"/>
    <cellStyle name="DATA Currency" xfId="75"/>
    <cellStyle name="DATA Currency [1]" xfId="76"/>
    <cellStyle name="DATA Currency [2]" xfId="77"/>
    <cellStyle name="DATA Date Long" xfId="78"/>
    <cellStyle name="DATA Date Short" xfId="79"/>
    <cellStyle name="DATA List" xfId="80"/>
    <cellStyle name="DATA Memo" xfId="81"/>
    <cellStyle name="DATA Percent" xfId="82"/>
    <cellStyle name="DATA Percent [1]" xfId="83"/>
    <cellStyle name="DATA Percent [2]" xfId="84"/>
    <cellStyle name="DATA Text" xfId="85"/>
    <cellStyle name="DATA Version" xfId="86"/>
    <cellStyle name="Date" xfId="87"/>
    <cellStyle name="Delta (0)" xfId="88"/>
    <cellStyle name="Delta (0,0)" xfId="89"/>
    <cellStyle name="Delta (0,00)" xfId="90"/>
    <cellStyle name="Euro" xfId="91"/>
    <cellStyle name="F_date" xfId="92"/>
    <cellStyle name="F_date_time" xfId="93"/>
    <cellStyle name="F_time" xfId="94"/>
    <cellStyle name="HEADING 1" xfId="95"/>
    <cellStyle name="HEADING 2" xfId="96"/>
    <cellStyle name="HEADING 3" xfId="97"/>
    <cellStyle name="Input" xfId="98"/>
    <cellStyle name="Input (0)" xfId="99"/>
    <cellStyle name="Input (0,0)" xfId="100"/>
    <cellStyle name="Input (0,00)" xfId="101"/>
    <cellStyle name="Input Perc (0,00)" xfId="102"/>
    <cellStyle name="Input(0)" xfId="103"/>
    <cellStyle name="Input(0,000)" xfId="104"/>
    <cellStyle name="LABEL Normal" xfId="105"/>
    <cellStyle name="LABEL Note" xfId="106"/>
    <cellStyle name="LABEL Units" xfId="107"/>
    <cellStyle name="Miglia" xfId="108"/>
    <cellStyle name="Comma" xfId="109"/>
    <cellStyle name="Migliaia (0)_0101" xfId="110"/>
    <cellStyle name="Migliaia (0,0)" xfId="111"/>
    <cellStyle name="Migliaia (0,00)" xfId="112"/>
    <cellStyle name="Migliaia (0,000)" xfId="113"/>
    <cellStyle name="Comma [0]" xfId="114"/>
    <cellStyle name="Migliaia [0] 2" xfId="115"/>
    <cellStyle name="Migliaia(0,0)" xfId="116"/>
    <cellStyle name="Neutrale" xfId="117"/>
    <cellStyle name="None" xfId="118"/>
    <cellStyle name="Normal_FuelsAssumptions_5June2003" xfId="119"/>
    <cellStyle name="Normale 2" xfId="120"/>
    <cellStyle name="Normale_Schema_dati" xfId="121"/>
    <cellStyle name="Nota" xfId="122"/>
    <cellStyle name="ODB_date_time" xfId="123"/>
    <cellStyle name="One" xfId="124"/>
    <cellStyle name="Output" xfId="125"/>
    <cellStyle name="Percent [0]" xfId="126"/>
    <cellStyle name="Percent [1]" xfId="127"/>
    <cellStyle name="Percent [2]" xfId="128"/>
    <cellStyle name="Percentage" xfId="129"/>
    <cellStyle name="Percent" xfId="130"/>
    <cellStyle name="Percentuale ,00" xfId="131"/>
    <cellStyle name="Percentuale(0)" xfId="132"/>
    <cellStyle name="SAPBEXstdItem" xfId="133"/>
    <cellStyle name="Sbloccato" xfId="134"/>
    <cellStyle name="Sottot" xfId="135"/>
    <cellStyle name="Sottotit 1" xfId="136"/>
    <cellStyle name="sottotit_tabella" xfId="137"/>
    <cellStyle name="SQL_STR" xfId="138"/>
    <cellStyle name="SYSTEM" xfId="139"/>
    <cellStyle name="Testo avviso" xfId="140"/>
    <cellStyle name="Testo descrittivo" xfId="141"/>
    <cellStyle name="TIME Detail" xfId="142"/>
    <cellStyle name="TIME Period Start" xfId="143"/>
    <cellStyle name="Tit_tabella" xfId="144"/>
    <cellStyle name="Titoli 1" xfId="145"/>
    <cellStyle name="Titoli 2" xfId="146"/>
    <cellStyle name="Titolo" xfId="147"/>
    <cellStyle name="Titolo 1" xfId="148"/>
    <cellStyle name="Titolo 2" xfId="149"/>
    <cellStyle name="Titolo 3" xfId="150"/>
    <cellStyle name="Titolo 4" xfId="151"/>
    <cellStyle name="Totale" xfId="152"/>
    <cellStyle name="Valore non valido" xfId="153"/>
    <cellStyle name="Valore valido" xfId="154"/>
    <cellStyle name="Currency" xfId="155"/>
    <cellStyle name="Valuta (0)_1998" xfId="156"/>
    <cellStyle name="Currency [0]"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W124"/>
  <sheetViews>
    <sheetView zoomScale="85" zoomScaleNormal="85" zoomScalePageLayoutView="0" workbookViewId="0" topLeftCell="A1">
      <selection activeCell="I38" sqref="I38"/>
    </sheetView>
  </sheetViews>
  <sheetFormatPr defaultColWidth="9.140625" defaultRowHeight="12.75" outlineLevelRow="1" outlineLevelCol="1"/>
  <cols>
    <col min="1" max="1" width="6.421875" style="191" customWidth="1"/>
    <col min="2" max="2" width="59.28125" style="192" customWidth="1"/>
    <col min="3" max="3" width="14.8515625" style="192" customWidth="1"/>
    <col min="4" max="4" width="14.00390625" style="192" hidden="1" customWidth="1" outlineLevel="1"/>
    <col min="5" max="5" width="15.57421875" style="192" customWidth="1" collapsed="1"/>
    <col min="6" max="6" width="12.8515625" style="192" customWidth="1"/>
    <col min="7" max="7" width="10.140625" style="193" customWidth="1"/>
    <col min="8" max="18" width="11.28125" style="192" customWidth="1"/>
    <col min="19" max="16384" width="9.140625" style="8" customWidth="1"/>
  </cols>
  <sheetData>
    <row r="2" spans="1:18" s="125" customFormat="1" ht="15.75">
      <c r="A2" s="194"/>
      <c r="B2" s="124" t="s">
        <v>490</v>
      </c>
      <c r="C2" s="195"/>
      <c r="D2" s="195"/>
      <c r="E2" s="195"/>
      <c r="F2" s="195"/>
      <c r="G2" s="196"/>
      <c r="H2" s="195"/>
      <c r="I2" s="195"/>
      <c r="J2" s="195"/>
      <c r="K2" s="195"/>
      <c r="L2" s="195"/>
      <c r="M2" s="195"/>
      <c r="N2" s="195"/>
      <c r="O2" s="195"/>
      <c r="P2" s="195"/>
      <c r="Q2" s="195"/>
      <c r="R2" s="195"/>
    </row>
    <row r="4" spans="1:8" s="28" customFormat="1" ht="12.75">
      <c r="A4" s="191"/>
      <c r="B4" s="754" t="s">
        <v>205</v>
      </c>
      <c r="C4" s="756"/>
      <c r="D4" s="756"/>
      <c r="E4" s="756"/>
      <c r="F4" s="756"/>
      <c r="G4" s="756"/>
      <c r="H4" s="757"/>
    </row>
    <row r="5" spans="1:8" s="32" customFormat="1" ht="12.75">
      <c r="A5" s="191"/>
      <c r="B5" s="755"/>
      <c r="C5" s="375" t="s">
        <v>369</v>
      </c>
      <c r="D5" s="376">
        <v>2014</v>
      </c>
      <c r="E5" s="375" t="s">
        <v>370</v>
      </c>
      <c r="F5" s="376">
        <v>2015</v>
      </c>
      <c r="G5" s="375" t="s">
        <v>371</v>
      </c>
      <c r="H5" s="377">
        <v>2017</v>
      </c>
    </row>
    <row r="6" spans="1:8" s="9" customFormat="1" ht="12.75">
      <c r="A6" s="197"/>
      <c r="B6" s="363"/>
      <c r="C6" s="199"/>
      <c r="D6" s="199"/>
      <c r="E6" s="199"/>
      <c r="F6" s="199"/>
      <c r="G6" s="25"/>
      <c r="H6" s="293"/>
    </row>
    <row r="7" spans="1:8" s="9" customFormat="1" ht="12.75">
      <c r="A7" s="197"/>
      <c r="B7" s="351" t="s">
        <v>67</v>
      </c>
      <c r="C7" s="70">
        <f>+'Quarterly Data'!J6</f>
        <v>7162</v>
      </c>
      <c r="D7" s="70">
        <f>+'Quarterly Data'!R6</f>
        <v>7859</v>
      </c>
      <c r="E7" s="70">
        <f>+'Quarterly Data'!Z6</f>
        <v>7859</v>
      </c>
      <c r="F7" s="70">
        <f>+'Quarterly Data'!AH6</f>
        <v>6529</v>
      </c>
      <c r="G7" s="25">
        <f>+'Quarterly Data'!AP6</f>
        <v>5682</v>
      </c>
      <c r="H7" s="80">
        <f>+'Quarterly Data'!AX6</f>
        <v>5127</v>
      </c>
    </row>
    <row r="8" spans="1:8" s="9" customFormat="1" ht="12.75">
      <c r="A8" s="197"/>
      <c r="B8" s="351" t="s">
        <v>68</v>
      </c>
      <c r="C8" s="70">
        <f>+'Quarterly Data'!J7</f>
        <v>5998</v>
      </c>
      <c r="D8" s="70">
        <f>+'Quarterly Data'!R7</f>
        <v>5168</v>
      </c>
      <c r="E8" s="70">
        <f>+'Quarterly Data'!Z7</f>
        <v>5168</v>
      </c>
      <c r="F8" s="70">
        <f>+'Quarterly Data'!AH7</f>
        <v>5512</v>
      </c>
      <c r="G8" s="25">
        <f>+'Quarterly Data'!AP7</f>
        <v>6031</v>
      </c>
      <c r="H8" s="80">
        <f>+'Quarterly Data'!AX7</f>
        <v>5592</v>
      </c>
    </row>
    <row r="9" spans="1:8" s="9" customFormat="1" ht="12.75">
      <c r="A9" s="197"/>
      <c r="B9" s="351" t="s">
        <v>69</v>
      </c>
      <c r="C9" s="70">
        <f>+'Quarterly Data'!J8</f>
        <v>52</v>
      </c>
      <c r="D9" s="70">
        <f>+'Quarterly Data'!R8</f>
        <v>48</v>
      </c>
      <c r="E9" s="70">
        <f>+'Quarterly Data'!Z8</f>
        <v>48</v>
      </c>
      <c r="F9" s="70">
        <f>+'Quarterly Data'!AH8</f>
        <v>49</v>
      </c>
      <c r="G9" s="25">
        <f>+'Quarterly Data'!AP8</f>
        <v>51</v>
      </c>
      <c r="H9" s="80">
        <f>+'Quarterly Data'!AX8</f>
        <v>54</v>
      </c>
    </row>
    <row r="10" spans="1:8" s="9" customFormat="1" ht="12.75">
      <c r="A10" s="197"/>
      <c r="B10" s="351" t="s">
        <v>70</v>
      </c>
      <c r="C10" s="70">
        <f>+'Quarterly Data'!J9</f>
        <v>-908</v>
      </c>
      <c r="D10" s="70">
        <f>+'Quarterly Data'!R9</f>
        <v>-750</v>
      </c>
      <c r="E10" s="70">
        <f>+'Quarterly Data'!Z9</f>
        <v>-750</v>
      </c>
      <c r="F10" s="70">
        <f>+'Quarterly Data'!AH9</f>
        <v>-777</v>
      </c>
      <c r="G10" s="25">
        <f>+'Quarterly Data'!AP9</f>
        <v>-730</v>
      </c>
      <c r="H10" s="80">
        <f>+'Quarterly Data'!AX9</f>
        <v>-833</v>
      </c>
    </row>
    <row r="11" spans="1:8" s="9" customFormat="1" ht="12.75">
      <c r="A11" s="197"/>
      <c r="B11" s="364" t="s">
        <v>71</v>
      </c>
      <c r="C11" s="76">
        <f>+SUM(C7:C10)</f>
        <v>12304</v>
      </c>
      <c r="D11" s="76">
        <f>+SUM(D7:D10)</f>
        <v>12325</v>
      </c>
      <c r="E11" s="76">
        <f>+SUM(E7:E10)</f>
        <v>12325</v>
      </c>
      <c r="F11" s="76">
        <f>+SUM(F7:F10)</f>
        <v>11313</v>
      </c>
      <c r="G11" s="76">
        <f>+G7+G8+G9+G10</f>
        <v>11034</v>
      </c>
      <c r="H11" s="77">
        <f>+H7+H8+H9+H10</f>
        <v>9940</v>
      </c>
    </row>
    <row r="12" spans="1:8" s="11" customFormat="1" ht="12.75">
      <c r="A12" s="201"/>
      <c r="B12" s="365" t="s">
        <v>72</v>
      </c>
      <c r="C12" s="70">
        <f>+'Quarterly Data'!J11</f>
        <v>530</v>
      </c>
      <c r="D12" s="70">
        <f>+'Quarterly Data'!R11</f>
        <v>255</v>
      </c>
      <c r="E12" s="70">
        <f>+'Quarterly Data'!Z11</f>
        <v>255</v>
      </c>
      <c r="F12" s="70">
        <f>+'Quarterly Data'!AH11</f>
        <v>804</v>
      </c>
      <c r="G12" s="70">
        <f>+'Quarterly Data'!AP11</f>
        <v>232</v>
      </c>
      <c r="H12" s="190">
        <f>+'Quarterly Data'!AX11</f>
        <v>143</v>
      </c>
    </row>
    <row r="13" spans="1:8" s="6" customFormat="1" ht="12.75">
      <c r="A13" s="191"/>
      <c r="B13" s="364" t="s">
        <v>73</v>
      </c>
      <c r="C13" s="76">
        <f aca="true" t="shared" si="0" ref="C13:H13">+C11+C12</f>
        <v>12834</v>
      </c>
      <c r="D13" s="76">
        <f t="shared" si="0"/>
        <v>12580</v>
      </c>
      <c r="E13" s="76">
        <f t="shared" si="0"/>
        <v>12580</v>
      </c>
      <c r="F13" s="76">
        <f t="shared" si="0"/>
        <v>12117</v>
      </c>
      <c r="G13" s="178">
        <f t="shared" si="0"/>
        <v>11266</v>
      </c>
      <c r="H13" s="179">
        <f t="shared" si="0"/>
        <v>10083</v>
      </c>
    </row>
    <row r="14" spans="2:18" ht="12.75">
      <c r="B14" s="366"/>
      <c r="C14" s="200"/>
      <c r="D14" s="200"/>
      <c r="E14" s="200"/>
      <c r="F14" s="200"/>
      <c r="G14" s="78"/>
      <c r="H14" s="79"/>
      <c r="I14" s="8"/>
      <c r="J14" s="8"/>
      <c r="K14" s="8"/>
      <c r="L14" s="8"/>
      <c r="M14" s="8"/>
      <c r="N14" s="8"/>
      <c r="O14" s="8"/>
      <c r="P14" s="8"/>
      <c r="Q14" s="8"/>
      <c r="R14" s="8"/>
    </row>
    <row r="15" spans="2:18" ht="12.75">
      <c r="B15" s="365" t="s">
        <v>74</v>
      </c>
      <c r="C15" s="78">
        <f aca="true" t="shared" si="1" ref="C15:H15">-(C13+C16-C24)</f>
        <v>-11641</v>
      </c>
      <c r="D15" s="78">
        <f t="shared" si="1"/>
        <v>-11545</v>
      </c>
      <c r="E15" s="78">
        <f t="shared" si="1"/>
        <v>-11545</v>
      </c>
      <c r="F15" s="78">
        <f t="shared" si="1"/>
        <v>-10624</v>
      </c>
      <c r="G15" s="78">
        <f t="shared" si="1"/>
        <v>-10318</v>
      </c>
      <c r="H15" s="79">
        <f t="shared" si="1"/>
        <v>-8969</v>
      </c>
      <c r="I15" s="8"/>
      <c r="J15" s="8"/>
      <c r="K15" s="8"/>
      <c r="L15" s="8"/>
      <c r="M15" s="8"/>
      <c r="N15" s="8"/>
      <c r="O15" s="8"/>
      <c r="P15" s="8"/>
      <c r="Q15" s="8"/>
      <c r="R15" s="8"/>
    </row>
    <row r="16" spans="2:18" ht="12.75">
      <c r="B16" s="365" t="s">
        <v>75</v>
      </c>
      <c r="C16" s="78">
        <f>+'Quarterly Data'!J15</f>
        <v>-223</v>
      </c>
      <c r="D16" s="78">
        <f>+'Quarterly Data'!R15</f>
        <v>-221</v>
      </c>
      <c r="E16" s="78">
        <f>+'Quarterly Data'!Z15</f>
        <v>-221</v>
      </c>
      <c r="F16" s="78">
        <f>+'Quarterly Data'!AH15</f>
        <v>-232</v>
      </c>
      <c r="G16" s="78">
        <f>+'Quarterly Data'!AP15</f>
        <v>-295</v>
      </c>
      <c r="H16" s="79">
        <f>+'Quarterly Data'!AX15</f>
        <v>-311</v>
      </c>
      <c r="I16" s="8"/>
      <c r="J16" s="8"/>
      <c r="K16" s="8"/>
      <c r="L16" s="8"/>
      <c r="M16" s="8"/>
      <c r="N16" s="8"/>
      <c r="O16" s="8"/>
      <c r="P16" s="8"/>
      <c r="Q16" s="8"/>
      <c r="R16" s="8"/>
    </row>
    <row r="17" spans="2:18" ht="12.75">
      <c r="B17" s="366"/>
      <c r="C17" s="200"/>
      <c r="D17" s="200"/>
      <c r="E17" s="200"/>
      <c r="F17" s="200"/>
      <c r="G17" s="78"/>
      <c r="H17" s="79"/>
      <c r="I17" s="8"/>
      <c r="J17" s="8"/>
      <c r="K17" s="8"/>
      <c r="L17" s="8"/>
      <c r="M17" s="8"/>
      <c r="N17" s="8"/>
      <c r="O17" s="8"/>
      <c r="P17" s="8"/>
      <c r="Q17" s="8"/>
      <c r="R17" s="8"/>
    </row>
    <row r="18" spans="1:8" s="9" customFormat="1" ht="12.75">
      <c r="A18" s="193"/>
      <c r="B18" s="360" t="s">
        <v>491</v>
      </c>
      <c r="C18" s="70">
        <f>+'Quarterly Data'!J17</f>
        <v>666</v>
      </c>
      <c r="D18" s="70">
        <f>+'Quarterly Data'!R17</f>
        <v>690</v>
      </c>
      <c r="E18" s="70">
        <f>+'Quarterly Data'!Z17</f>
        <v>690</v>
      </c>
      <c r="F18" s="70">
        <f>+'Quarterly Data'!AH17</f>
        <v>276</v>
      </c>
      <c r="G18" s="25">
        <f>+'Quarterly Data'!AP17</f>
        <v>242</v>
      </c>
      <c r="H18" s="80">
        <f>+'Quarterly Data'!AX17</f>
        <v>265</v>
      </c>
    </row>
    <row r="19" spans="1:8" s="9" customFormat="1" ht="15" customHeight="1">
      <c r="A19" s="193"/>
      <c r="B19" s="360" t="s">
        <v>492</v>
      </c>
      <c r="C19" s="70">
        <f>+'Quarterly Data'!J18</f>
        <v>415</v>
      </c>
      <c r="D19" s="70">
        <f>+'Quarterly Data'!R18</f>
        <v>255</v>
      </c>
      <c r="E19" s="70">
        <f>+'Quarterly Data'!Z18</f>
        <v>255</v>
      </c>
      <c r="F19" s="70">
        <f>+'Quarterly Data'!AH18</f>
        <v>1079</v>
      </c>
      <c r="G19" s="25">
        <f>+'Quarterly Data'!AP18</f>
        <v>505</v>
      </c>
      <c r="H19" s="80">
        <f>+'Quarterly Data'!AX18</f>
        <v>637</v>
      </c>
    </row>
    <row r="20" spans="1:8" s="9" customFormat="1" ht="15" customHeight="1">
      <c r="A20" s="193"/>
      <c r="B20" s="358" t="s">
        <v>515</v>
      </c>
      <c r="C20" s="70"/>
      <c r="D20" s="70"/>
      <c r="E20" s="70"/>
      <c r="F20" s="70"/>
      <c r="G20" s="25"/>
      <c r="H20" s="80"/>
    </row>
    <row r="21" spans="1:8" s="9" customFormat="1" ht="15" customHeight="1">
      <c r="A21" s="193"/>
      <c r="B21" s="268" t="s">
        <v>493</v>
      </c>
      <c r="C21" s="70">
        <f>+'Quarterly Data'!J20</f>
        <v>444</v>
      </c>
      <c r="D21" s="70">
        <f>+'Quarterly Data'!R20</f>
        <v>427</v>
      </c>
      <c r="E21" s="70">
        <f>+'Quarterly Data'!Z20</f>
        <v>427</v>
      </c>
      <c r="F21" s="70">
        <f>+'Quarterly Data'!AH20</f>
        <v>243</v>
      </c>
      <c r="G21" s="25">
        <f>+'Quarterly Data'!AP20</f>
        <v>182</v>
      </c>
      <c r="H21" s="80">
        <f>+'Quarterly Data'!AX20</f>
        <v>263</v>
      </c>
    </row>
    <row r="22" spans="1:8" s="9" customFormat="1" ht="15" customHeight="1">
      <c r="A22" s="193"/>
      <c r="B22" s="268" t="s">
        <v>358</v>
      </c>
      <c r="C22" s="70">
        <f>+'Quarterly Data'!J21</f>
        <v>-29</v>
      </c>
      <c r="D22" s="70">
        <f>+'Quarterly Data'!R21</f>
        <v>-172</v>
      </c>
      <c r="E22" s="70">
        <f>+'Quarterly Data'!Z21</f>
        <v>-172</v>
      </c>
      <c r="F22" s="70">
        <f>+'Quarterly Data'!AH21</f>
        <v>836</v>
      </c>
      <c r="G22" s="25">
        <f>+'Quarterly Data'!AP21</f>
        <v>323</v>
      </c>
      <c r="H22" s="80">
        <f>+'Quarterly Data'!AX21</f>
        <v>374</v>
      </c>
    </row>
    <row r="23" spans="1:8" s="9" customFormat="1" ht="12.75">
      <c r="A23" s="193"/>
      <c r="B23" s="360" t="s">
        <v>76</v>
      </c>
      <c r="C23" s="70">
        <f>+'Quarterly Data'!J22</f>
        <v>-111</v>
      </c>
      <c r="D23" s="70">
        <f>+'Quarterly Data'!R22</f>
        <v>-131</v>
      </c>
      <c r="E23" s="70">
        <f>+'Quarterly Data'!Z22</f>
        <v>-131</v>
      </c>
      <c r="F23" s="70">
        <f>+'Quarterly Data'!AH22</f>
        <v>-94</v>
      </c>
      <c r="G23" s="25">
        <f>+'Quarterly Data'!AP22</f>
        <v>-94</v>
      </c>
      <c r="H23" s="80">
        <f>+'Quarterly Data'!AX22</f>
        <v>-99</v>
      </c>
    </row>
    <row r="24" spans="1:8" s="10" customFormat="1" ht="12.75">
      <c r="A24" s="205"/>
      <c r="B24" s="364" t="s">
        <v>494</v>
      </c>
      <c r="C24" s="76">
        <f aca="true" t="shared" si="2" ref="C24:H24">+C18+C19+C23</f>
        <v>970</v>
      </c>
      <c r="D24" s="76">
        <f t="shared" si="2"/>
        <v>814</v>
      </c>
      <c r="E24" s="76">
        <f t="shared" si="2"/>
        <v>814</v>
      </c>
      <c r="F24" s="76">
        <f t="shared" si="2"/>
        <v>1261</v>
      </c>
      <c r="G24" s="76">
        <f t="shared" si="2"/>
        <v>653</v>
      </c>
      <c r="H24" s="77">
        <f t="shared" si="2"/>
        <v>803</v>
      </c>
    </row>
    <row r="25" spans="1:8" s="9" customFormat="1" ht="12.75">
      <c r="A25" s="193"/>
      <c r="B25" s="367"/>
      <c r="C25" s="203"/>
      <c r="D25" s="203"/>
      <c r="E25" s="203"/>
      <c r="F25" s="203"/>
      <c r="G25" s="25"/>
      <c r="H25" s="80"/>
    </row>
    <row r="26" spans="2:18" ht="12.75">
      <c r="B26" s="172" t="s">
        <v>285</v>
      </c>
      <c r="C26" s="78">
        <f>+'Quarterly Data'!J25</f>
        <v>-9</v>
      </c>
      <c r="D26" s="78">
        <f>+'Quarterly Data'!R25</f>
        <v>250</v>
      </c>
      <c r="E26" s="78">
        <f>+'Quarterly Data'!Z25</f>
        <v>250</v>
      </c>
      <c r="F26" s="78">
        <f>+'Quarterly Data'!AH25</f>
        <v>161</v>
      </c>
      <c r="G26" s="78">
        <f>+'Quarterly Data'!AP25</f>
        <v>-166</v>
      </c>
      <c r="H26" s="79">
        <f>+'Quarterly Data'!AX25</f>
        <v>-221</v>
      </c>
      <c r="I26" s="8"/>
      <c r="J26" s="8"/>
      <c r="K26" s="8"/>
      <c r="L26" s="8"/>
      <c r="M26" s="8"/>
      <c r="N26" s="8"/>
      <c r="O26" s="8"/>
      <c r="P26" s="8"/>
      <c r="Q26" s="8"/>
      <c r="R26" s="8"/>
    </row>
    <row r="27" spans="2:18" ht="12.75">
      <c r="B27" s="172" t="s">
        <v>402</v>
      </c>
      <c r="C27" s="78">
        <f>+'Quarterly Data'!J26</f>
        <v>-536</v>
      </c>
      <c r="D27" s="78">
        <f>+'Quarterly Data'!R26</f>
        <v>-521</v>
      </c>
      <c r="E27" s="78">
        <f>+'Quarterly Data'!Z26</f>
        <v>-521</v>
      </c>
      <c r="F27" s="78">
        <f>+'Quarterly Data'!AH26</f>
        <v>-660</v>
      </c>
      <c r="G27" s="78">
        <f>+'Quarterly Data'!AP26</f>
        <v>-478</v>
      </c>
      <c r="H27" s="79">
        <f>+'Quarterly Data'!AX26</f>
        <v>-486</v>
      </c>
      <c r="I27" s="8"/>
      <c r="J27" s="8"/>
      <c r="K27" s="8"/>
      <c r="L27" s="8"/>
      <c r="M27" s="8"/>
      <c r="N27" s="8"/>
      <c r="O27" s="8"/>
      <c r="P27" s="8"/>
      <c r="Q27" s="8"/>
      <c r="R27" s="8"/>
    </row>
    <row r="28" spans="2:18" ht="12.75">
      <c r="B28" s="172" t="s">
        <v>377</v>
      </c>
      <c r="C28" s="78">
        <f>+'Quarterly Data'!J27</f>
        <v>-100</v>
      </c>
      <c r="D28" s="78">
        <f>+'Quarterly Data'!R27</f>
        <v>-240</v>
      </c>
      <c r="E28" s="78">
        <f>+'Quarterly Data'!Z27</f>
        <v>-240</v>
      </c>
      <c r="F28" s="78">
        <f>+'Quarterly Data'!AH27</f>
        <v>-1534</v>
      </c>
      <c r="G28" s="78">
        <f>+'Quarterly Data'!AP27</f>
        <v>-256</v>
      </c>
      <c r="H28" s="79">
        <f>+'Quarterly Data'!AX27</f>
        <v>-169</v>
      </c>
      <c r="I28" s="8"/>
      <c r="J28" s="8"/>
      <c r="K28" s="8"/>
      <c r="L28" s="8"/>
      <c r="M28" s="8"/>
      <c r="N28" s="8"/>
      <c r="O28" s="8"/>
      <c r="P28" s="8"/>
      <c r="Q28" s="8"/>
      <c r="R28" s="8"/>
    </row>
    <row r="29" spans="2:18" ht="12.75">
      <c r="B29" s="172" t="s">
        <v>153</v>
      </c>
      <c r="C29" s="78">
        <f>+'Quarterly Data'!J28</f>
        <v>-4</v>
      </c>
      <c r="D29" s="78">
        <f>+'Quarterly Data'!R28</f>
        <v>-11</v>
      </c>
      <c r="E29" s="78">
        <f>+'Quarterly Data'!Z28</f>
        <v>-11</v>
      </c>
      <c r="F29" s="78">
        <f>+'Quarterly Data'!AH28</f>
        <v>-23</v>
      </c>
      <c r="G29" s="78">
        <f>+'Quarterly Data'!AP28</f>
        <v>-13</v>
      </c>
      <c r="H29" s="79">
        <f>+'Quarterly Data'!AX28</f>
        <v>115</v>
      </c>
      <c r="I29" s="8"/>
      <c r="J29" s="8"/>
      <c r="K29" s="8"/>
      <c r="L29" s="8"/>
      <c r="M29" s="8"/>
      <c r="N29" s="8"/>
      <c r="O29" s="8"/>
      <c r="P29" s="8"/>
      <c r="Q29" s="8"/>
      <c r="R29" s="8"/>
    </row>
    <row r="30" spans="1:8" s="6" customFormat="1" ht="12.75">
      <c r="A30" s="191"/>
      <c r="B30" s="364" t="s">
        <v>403</v>
      </c>
      <c r="C30" s="76">
        <f aca="true" t="shared" si="3" ref="C30:H30">+C24+SUM(C26:C29)</f>
        <v>321</v>
      </c>
      <c r="D30" s="179">
        <f t="shared" si="3"/>
        <v>292</v>
      </c>
      <c r="E30" s="76">
        <f t="shared" si="3"/>
        <v>292</v>
      </c>
      <c r="F30" s="76">
        <f t="shared" si="3"/>
        <v>-795</v>
      </c>
      <c r="G30" s="76">
        <f t="shared" si="3"/>
        <v>-260</v>
      </c>
      <c r="H30" s="179">
        <f t="shared" si="3"/>
        <v>42</v>
      </c>
    </row>
    <row r="31" spans="1:8" s="22" customFormat="1" ht="12.75">
      <c r="A31" s="207"/>
      <c r="B31" s="368"/>
      <c r="C31" s="208"/>
      <c r="D31" s="208"/>
      <c r="E31" s="208"/>
      <c r="F31" s="208"/>
      <c r="G31" s="19"/>
      <c r="H31" s="165"/>
    </row>
    <row r="32" spans="2:18" ht="12.75">
      <c r="B32" s="365" t="s">
        <v>78</v>
      </c>
      <c r="C32" s="70">
        <f>+'Quarterly Data'!J32</f>
        <v>-112</v>
      </c>
      <c r="D32" s="70">
        <f>+'Quarterly Data'!R32</f>
        <v>-91</v>
      </c>
      <c r="E32" s="70">
        <f>+'Quarterly Data'!Z32</f>
        <v>-91</v>
      </c>
      <c r="F32" s="70">
        <f>+'Quarterly Data'!AH32</f>
        <v>-29</v>
      </c>
      <c r="G32" s="78">
        <f>+'Quarterly Data'!AP32</f>
        <v>-94</v>
      </c>
      <c r="H32" s="79">
        <f>+'Quarterly Data'!AX32</f>
        <v>-52</v>
      </c>
      <c r="I32" s="8"/>
      <c r="J32" s="8"/>
      <c r="K32" s="8"/>
      <c r="L32" s="8"/>
      <c r="M32" s="8"/>
      <c r="N32" s="8"/>
      <c r="O32" s="8"/>
      <c r="P32" s="8"/>
      <c r="Q32" s="8"/>
      <c r="R32" s="8"/>
    </row>
    <row r="33" spans="2:18" ht="12.75">
      <c r="B33" s="365" t="s">
        <v>79</v>
      </c>
      <c r="C33" s="70">
        <f>+'Quarterly Data'!J33</f>
        <v>8</v>
      </c>
      <c r="D33" s="70">
        <f>+'Quarterly Data'!R33</f>
        <v>13</v>
      </c>
      <c r="E33" s="70">
        <f>+'Quarterly Data'!Z33</f>
        <v>13</v>
      </c>
      <c r="F33" s="70">
        <f>+'Quarterly Data'!AH33</f>
        <v>-38</v>
      </c>
      <c r="G33" s="78">
        <f>+'Quarterly Data'!AP33</f>
        <v>7</v>
      </c>
      <c r="H33" s="79">
        <f>+'Quarterly Data'!AX33</f>
        <v>-31</v>
      </c>
      <c r="I33" s="8"/>
      <c r="J33" s="8"/>
      <c r="K33" s="8"/>
      <c r="L33" s="8"/>
      <c r="M33" s="8"/>
      <c r="N33" s="8"/>
      <c r="O33" s="8"/>
      <c r="P33" s="8"/>
      <c r="Q33" s="8"/>
      <c r="R33" s="8"/>
    </row>
    <row r="34" spans="1:8" s="6" customFormat="1" ht="12.75">
      <c r="A34" s="191"/>
      <c r="B34" s="364" t="s">
        <v>154</v>
      </c>
      <c r="C34" s="76">
        <f aca="true" t="shared" si="4" ref="C34:H34">+C30+SUM(C32:C33)</f>
        <v>217</v>
      </c>
      <c r="D34" s="76">
        <f t="shared" si="4"/>
        <v>214</v>
      </c>
      <c r="E34" s="76">
        <f t="shared" si="4"/>
        <v>214</v>
      </c>
      <c r="F34" s="76">
        <f t="shared" si="4"/>
        <v>-862</v>
      </c>
      <c r="G34" s="178">
        <f t="shared" si="4"/>
        <v>-347</v>
      </c>
      <c r="H34" s="179">
        <f t="shared" si="4"/>
        <v>-41</v>
      </c>
    </row>
    <row r="35" spans="2:18" ht="12.75">
      <c r="B35" s="365" t="s">
        <v>80</v>
      </c>
      <c r="C35" s="70">
        <f>+'Quarterly Data'!J36</f>
        <v>-119</v>
      </c>
      <c r="D35" s="70">
        <f>+'Quarterly Data'!R36</f>
        <v>-159</v>
      </c>
      <c r="E35" s="70">
        <f>+'Quarterly Data'!Z36</f>
        <v>-159</v>
      </c>
      <c r="F35" s="70">
        <f>+'Quarterly Data'!AH36</f>
        <v>-97</v>
      </c>
      <c r="G35" s="78">
        <f>+'Quarterly Data'!AP36</f>
        <v>-25</v>
      </c>
      <c r="H35" s="79">
        <f>+'Quarterly Data'!AX36</f>
        <v>-122</v>
      </c>
      <c r="I35" s="8"/>
      <c r="J35" s="8"/>
      <c r="K35" s="8"/>
      <c r="L35" s="8"/>
      <c r="M35" s="8"/>
      <c r="N35" s="8"/>
      <c r="O35" s="8"/>
      <c r="P35" s="8"/>
      <c r="Q35" s="8"/>
      <c r="R35" s="8"/>
    </row>
    <row r="36" spans="2:18" ht="12.75" hidden="1" outlineLevel="1">
      <c r="B36" s="364" t="s">
        <v>155</v>
      </c>
      <c r="C36" s="76">
        <f aca="true" t="shared" si="5" ref="C36:H36">+C34+C35</f>
        <v>98</v>
      </c>
      <c r="D36" s="76">
        <f t="shared" si="5"/>
        <v>55</v>
      </c>
      <c r="E36" s="76">
        <f t="shared" si="5"/>
        <v>55</v>
      </c>
      <c r="F36" s="76">
        <f t="shared" si="5"/>
        <v>-959</v>
      </c>
      <c r="G36" s="178">
        <f t="shared" si="5"/>
        <v>-372</v>
      </c>
      <c r="H36" s="179">
        <f t="shared" si="5"/>
        <v>-163</v>
      </c>
      <c r="I36" s="8"/>
      <c r="J36" s="8"/>
      <c r="K36" s="8"/>
      <c r="L36" s="8"/>
      <c r="M36" s="8"/>
      <c r="N36" s="8"/>
      <c r="O36" s="8"/>
      <c r="P36" s="8"/>
      <c r="Q36" s="8"/>
      <c r="R36" s="8"/>
    </row>
    <row r="37" spans="2:18" ht="12.75" hidden="1" outlineLevel="1">
      <c r="B37" s="365" t="s">
        <v>152</v>
      </c>
      <c r="C37" s="70">
        <f>+'Quarterly Data'!J38</f>
        <v>0</v>
      </c>
      <c r="D37" s="70">
        <f>+'Quarterly Data'!R38</f>
        <v>0</v>
      </c>
      <c r="E37" s="70">
        <f>+'Quarterly Data'!Z38</f>
        <v>0</v>
      </c>
      <c r="F37" s="70">
        <f>+'Quarterly Data'!AH38</f>
        <v>0</v>
      </c>
      <c r="G37" s="78">
        <f>+'Quarterly Data'!AP38</f>
        <v>0</v>
      </c>
      <c r="H37" s="79">
        <f>+'Quarterly Data'!AX38</f>
        <v>0</v>
      </c>
      <c r="I37" s="8"/>
      <c r="J37" s="8"/>
      <c r="K37" s="8"/>
      <c r="L37" s="8"/>
      <c r="M37" s="8"/>
      <c r="N37" s="8"/>
      <c r="O37" s="8"/>
      <c r="P37" s="8"/>
      <c r="Q37" s="8"/>
      <c r="R37" s="8"/>
    </row>
    <row r="38" spans="1:8" s="6" customFormat="1" ht="12.75" collapsed="1">
      <c r="A38" s="191"/>
      <c r="B38" s="373" t="s">
        <v>81</v>
      </c>
      <c r="C38" s="178">
        <f aca="true" t="shared" si="6" ref="C38:H38">+C36+C37</f>
        <v>98</v>
      </c>
      <c r="D38" s="178">
        <f t="shared" si="6"/>
        <v>55</v>
      </c>
      <c r="E38" s="178">
        <f t="shared" si="6"/>
        <v>55</v>
      </c>
      <c r="F38" s="178">
        <f t="shared" si="6"/>
        <v>-959</v>
      </c>
      <c r="G38" s="178">
        <f t="shared" si="6"/>
        <v>-372</v>
      </c>
      <c r="H38" s="179">
        <f t="shared" si="6"/>
        <v>-163</v>
      </c>
    </row>
    <row r="39" spans="1:8" s="10" customFormat="1" ht="12.75">
      <c r="A39" s="197"/>
      <c r="B39" s="358" t="s">
        <v>82</v>
      </c>
      <c r="C39" s="202"/>
      <c r="D39" s="202"/>
      <c r="E39" s="202"/>
      <c r="F39" s="202"/>
      <c r="G39" s="265"/>
      <c r="H39" s="257"/>
    </row>
    <row r="40" spans="2:18" ht="12.75">
      <c r="B40" s="365" t="s">
        <v>176</v>
      </c>
      <c r="C40" s="70">
        <f>+'Quarterly Data'!J40</f>
        <v>-2</v>
      </c>
      <c r="D40" s="70">
        <f>+'Quarterly Data'!R40</f>
        <v>-15</v>
      </c>
      <c r="E40" s="70">
        <f>+'Quarterly Data'!Z40</f>
        <v>-15</v>
      </c>
      <c r="F40" s="70">
        <f>+'Quarterly Data'!AH40</f>
        <v>-21</v>
      </c>
      <c r="G40" s="78">
        <f>+'Quarterly Data'!AP40</f>
        <v>-17</v>
      </c>
      <c r="H40" s="79">
        <f>+'Quarterly Data'!AX40</f>
        <v>-13</v>
      </c>
      <c r="I40" s="8"/>
      <c r="J40" s="8"/>
      <c r="K40" s="8"/>
      <c r="L40" s="8"/>
      <c r="M40" s="8"/>
      <c r="N40" s="8"/>
      <c r="O40" s="8"/>
      <c r="P40" s="8"/>
      <c r="Q40" s="8"/>
      <c r="R40" s="8"/>
    </row>
    <row r="41" spans="2:18" ht="12.75">
      <c r="B41" s="369" t="s">
        <v>83</v>
      </c>
      <c r="C41" s="82">
        <f aca="true" t="shared" si="7" ref="C41:H41">+C38+C40</f>
        <v>96</v>
      </c>
      <c r="D41" s="82">
        <f t="shared" si="7"/>
        <v>40</v>
      </c>
      <c r="E41" s="82">
        <f t="shared" si="7"/>
        <v>40</v>
      </c>
      <c r="F41" s="82">
        <f t="shared" si="7"/>
        <v>-980</v>
      </c>
      <c r="G41" s="180">
        <f t="shared" si="7"/>
        <v>-389</v>
      </c>
      <c r="H41" s="181">
        <f t="shared" si="7"/>
        <v>-176</v>
      </c>
      <c r="I41" s="8"/>
      <c r="J41" s="8"/>
      <c r="K41" s="8"/>
      <c r="L41" s="8"/>
      <c r="M41" s="8"/>
      <c r="N41" s="8"/>
      <c r="O41" s="8"/>
      <c r="P41" s="8"/>
      <c r="Q41" s="8"/>
      <c r="R41" s="8"/>
    </row>
    <row r="42" spans="1:8" s="9" customFormat="1" ht="12.75">
      <c r="A42" s="211"/>
      <c r="B42" s="370"/>
      <c r="C42" s="203"/>
      <c r="D42" s="203"/>
      <c r="E42" s="203"/>
      <c r="F42" s="203"/>
      <c r="G42" s="25"/>
      <c r="H42" s="80"/>
    </row>
    <row r="43" spans="1:8" s="10" customFormat="1" ht="12.75">
      <c r="A43" s="197"/>
      <c r="B43" s="369" t="s">
        <v>526</v>
      </c>
      <c r="C43" s="82">
        <f>+'Quarterly Data'!J57</f>
        <v>3183</v>
      </c>
      <c r="D43" s="82">
        <f>+'Quarterly Data'!R57</f>
        <v>3101</v>
      </c>
      <c r="E43" s="82">
        <f>+'Quarterly Data'!Z57</f>
        <v>3101</v>
      </c>
      <c r="F43" s="82">
        <f>+'Quarterly Data'!AH57</f>
        <v>3066</v>
      </c>
      <c r="G43" s="180">
        <f>+'Quarterly Data'!AP57</f>
        <v>4949</v>
      </c>
      <c r="H43" s="181">
        <f>+'Quarterly Data'!AX57</f>
        <v>5144</v>
      </c>
    </row>
    <row r="44" spans="3:18" ht="12.75">
      <c r="C44" s="200"/>
      <c r="D44" s="200"/>
      <c r="E44" s="200"/>
      <c r="F44" s="200"/>
      <c r="G44" s="8"/>
      <c r="H44" s="8"/>
      <c r="I44" s="8"/>
      <c r="J44" s="8"/>
      <c r="K44" s="8"/>
      <c r="L44" s="8"/>
      <c r="M44" s="8"/>
      <c r="N44" s="8"/>
      <c r="O44" s="8"/>
      <c r="P44" s="8"/>
      <c r="Q44" s="8"/>
      <c r="R44" s="8"/>
    </row>
    <row r="45" spans="3:18" ht="12.75">
      <c r="C45" s="200"/>
      <c r="D45" s="200"/>
      <c r="E45" s="200"/>
      <c r="F45" s="200"/>
      <c r="G45" s="8"/>
      <c r="H45" s="8"/>
      <c r="I45" s="8"/>
      <c r="J45" s="8"/>
      <c r="K45" s="8"/>
      <c r="L45" s="8"/>
      <c r="M45" s="8"/>
      <c r="N45" s="8"/>
      <c r="O45" s="8"/>
      <c r="P45" s="8"/>
      <c r="Q45" s="8"/>
      <c r="R45" s="8"/>
    </row>
    <row r="46" spans="2:18" ht="12.75">
      <c r="B46" s="752" t="s">
        <v>84</v>
      </c>
      <c r="C46" s="756"/>
      <c r="D46" s="756"/>
      <c r="E46" s="756"/>
      <c r="F46" s="756"/>
      <c r="G46" s="756"/>
      <c r="H46" s="756"/>
      <c r="I46" s="72"/>
      <c r="J46" s="8"/>
      <c r="K46" s="8"/>
      <c r="L46" s="8"/>
      <c r="M46" s="8"/>
      <c r="N46" s="8"/>
      <c r="O46" s="8"/>
      <c r="P46" s="8"/>
      <c r="Q46" s="8"/>
      <c r="R46" s="8"/>
    </row>
    <row r="47" spans="2:18" ht="12.75">
      <c r="B47" s="753"/>
      <c r="C47" s="375" t="str">
        <f aca="true" t="shared" si="8" ref="C47:H47">+C5</f>
        <v>2013 Restated</v>
      </c>
      <c r="D47" s="376">
        <f t="shared" si="8"/>
        <v>2014</v>
      </c>
      <c r="E47" s="375" t="str">
        <f t="shared" si="8"/>
        <v>2014 Restated</v>
      </c>
      <c r="F47" s="376">
        <f t="shared" si="8"/>
        <v>2015</v>
      </c>
      <c r="G47" s="375" t="str">
        <f t="shared" si="8"/>
        <v>2016 (1)</v>
      </c>
      <c r="H47" s="377">
        <f t="shared" si="8"/>
        <v>2017</v>
      </c>
      <c r="I47" s="8"/>
      <c r="J47" s="8"/>
      <c r="K47" s="8"/>
      <c r="L47" s="8"/>
      <c r="M47" s="8"/>
      <c r="N47" s="8"/>
      <c r="O47" s="8"/>
      <c r="P47" s="8"/>
      <c r="Q47" s="8"/>
      <c r="R47" s="8"/>
    </row>
    <row r="48" spans="1:8" s="9" customFormat="1" ht="12.75" customHeight="1">
      <c r="A48" s="197"/>
      <c r="B48" s="367"/>
      <c r="C48" s="199"/>
      <c r="D48" s="198"/>
      <c r="E48" s="199"/>
      <c r="F48" s="199"/>
      <c r="G48" s="713"/>
      <c r="H48" s="293"/>
    </row>
    <row r="49" spans="1:8" s="9" customFormat="1" ht="12.75" customHeight="1">
      <c r="A49" s="197"/>
      <c r="B49" s="365" t="s">
        <v>85</v>
      </c>
      <c r="C49" s="71">
        <f>4344+6</f>
        <v>4350</v>
      </c>
      <c r="D49" s="71">
        <f>4348+6</f>
        <v>4354</v>
      </c>
      <c r="E49" s="71">
        <f>4348+6</f>
        <v>4354</v>
      </c>
      <c r="F49" s="71">
        <v>3684</v>
      </c>
      <c r="G49" s="71">
        <f>3937+5</f>
        <v>3942</v>
      </c>
      <c r="H49" s="258">
        <f>3657+5</f>
        <v>3662</v>
      </c>
    </row>
    <row r="50" spans="1:8" s="9" customFormat="1" ht="12.75" customHeight="1">
      <c r="A50" s="197"/>
      <c r="B50" s="365" t="s">
        <v>373</v>
      </c>
      <c r="C50" s="71">
        <v>3231</v>
      </c>
      <c r="D50" s="71">
        <v>3070</v>
      </c>
      <c r="E50" s="71">
        <v>3070</v>
      </c>
      <c r="F50" s="71">
        <v>2355</v>
      </c>
      <c r="G50" s="71">
        <v>2357</v>
      </c>
      <c r="H50" s="258">
        <v>2313</v>
      </c>
    </row>
    <row r="51" spans="1:8" s="9" customFormat="1" ht="12.75" customHeight="1">
      <c r="A51" s="197"/>
      <c r="B51" s="365" t="s">
        <v>374</v>
      </c>
      <c r="C51" s="71">
        <f>860+114</f>
        <v>974</v>
      </c>
      <c r="D51" s="71">
        <f>739+118</f>
        <v>857</v>
      </c>
      <c r="E51" s="71">
        <f>739+118</f>
        <v>857</v>
      </c>
      <c r="F51" s="71">
        <f>480+118</f>
        <v>598</v>
      </c>
      <c r="G51" s="71">
        <f>396+128</f>
        <v>524</v>
      </c>
      <c r="H51" s="258">
        <f>322+154</f>
        <v>476</v>
      </c>
    </row>
    <row r="52" spans="1:8" s="9" customFormat="1" ht="12.75" customHeight="1">
      <c r="A52" s="197"/>
      <c r="B52" s="365" t="s">
        <v>375</v>
      </c>
      <c r="C52" s="71">
        <f>144+183+106</f>
        <v>433</v>
      </c>
      <c r="D52" s="71">
        <f>149+174+47</f>
        <v>370</v>
      </c>
      <c r="E52" s="71">
        <f>149+174+47</f>
        <v>370</v>
      </c>
      <c r="F52" s="71">
        <v>265</v>
      </c>
      <c r="G52" s="71">
        <f>104+158+94</f>
        <v>356</v>
      </c>
      <c r="H52" s="258">
        <f>67+1+80</f>
        <v>148</v>
      </c>
    </row>
    <row r="53" spans="1:8" s="9" customFormat="1" ht="12" customHeight="1">
      <c r="A53" s="197"/>
      <c r="B53" s="365" t="s">
        <v>86</v>
      </c>
      <c r="C53" s="71">
        <f>486+2876-1997</f>
        <v>1365</v>
      </c>
      <c r="D53" s="71">
        <f>479+2848-2321</f>
        <v>1006</v>
      </c>
      <c r="E53" s="71">
        <f>479+2848-2321</f>
        <v>1006</v>
      </c>
      <c r="F53" s="71">
        <v>997</v>
      </c>
      <c r="G53" s="71">
        <f>1830+180-1607</f>
        <v>403</v>
      </c>
      <c r="H53" s="258">
        <f>1656+182-1696</f>
        <v>142</v>
      </c>
    </row>
    <row r="54" spans="2:18" ht="12.75">
      <c r="B54" s="365" t="s">
        <v>116</v>
      </c>
      <c r="C54" s="71">
        <v>-628</v>
      </c>
      <c r="D54" s="71">
        <v>-717</v>
      </c>
      <c r="E54" s="71">
        <v>-717</v>
      </c>
      <c r="F54" s="71">
        <v>-845</v>
      </c>
      <c r="G54" s="71">
        <v>-211</v>
      </c>
      <c r="H54" s="258">
        <v>-380</v>
      </c>
      <c r="I54" s="8"/>
      <c r="J54" s="8"/>
      <c r="K54" s="8"/>
      <c r="L54" s="8"/>
      <c r="M54" s="8"/>
      <c r="N54" s="8"/>
      <c r="O54" s="8"/>
      <c r="P54" s="8"/>
      <c r="Q54" s="8"/>
      <c r="R54" s="8"/>
    </row>
    <row r="55" spans="2:18" ht="12.75">
      <c r="B55" s="366"/>
      <c r="C55" s="70"/>
      <c r="D55" s="70"/>
      <c r="E55" s="70"/>
      <c r="F55" s="71"/>
      <c r="G55" s="71"/>
      <c r="H55" s="258"/>
      <c r="I55" s="8"/>
      <c r="J55" s="8"/>
      <c r="K55" s="8"/>
      <c r="L55" s="8"/>
      <c r="M55" s="8"/>
      <c r="N55" s="8"/>
      <c r="O55" s="8"/>
      <c r="P55" s="8"/>
      <c r="Q55" s="8"/>
      <c r="R55" s="8"/>
    </row>
    <row r="56" spans="2:18" ht="12.75">
      <c r="B56" s="365" t="s">
        <v>87</v>
      </c>
      <c r="C56" s="71">
        <v>-35</v>
      </c>
      <c r="D56" s="71">
        <v>-37</v>
      </c>
      <c r="E56" s="71">
        <v>-37</v>
      </c>
      <c r="F56" s="71">
        <v>-31</v>
      </c>
      <c r="G56" s="71">
        <v>-44</v>
      </c>
      <c r="H56" s="258">
        <v>-42</v>
      </c>
      <c r="I56" s="8"/>
      <c r="J56" s="8"/>
      <c r="K56" s="8"/>
      <c r="L56" s="8"/>
      <c r="M56" s="8"/>
      <c r="N56" s="8"/>
      <c r="O56" s="8"/>
      <c r="P56" s="8"/>
      <c r="Q56" s="8"/>
      <c r="R56" s="8"/>
    </row>
    <row r="57" spans="2:18" ht="12.75">
      <c r="B57" s="366"/>
      <c r="C57" s="203"/>
      <c r="D57" s="203"/>
      <c r="E57" s="203"/>
      <c r="F57" s="203"/>
      <c r="G57" s="203"/>
      <c r="H57" s="79"/>
      <c r="I57" s="8"/>
      <c r="J57" s="8"/>
      <c r="K57" s="8"/>
      <c r="L57" s="8"/>
      <c r="M57" s="8"/>
      <c r="N57" s="8"/>
      <c r="O57" s="8"/>
      <c r="P57" s="8"/>
      <c r="Q57" s="8"/>
      <c r="R57" s="8"/>
    </row>
    <row r="58" spans="1:8" s="6" customFormat="1" ht="12.75">
      <c r="A58" s="191"/>
      <c r="B58" s="364" t="s">
        <v>88</v>
      </c>
      <c r="C58" s="76">
        <f aca="true" t="shared" si="9" ref="C58:H58">+SUM(C49:C56)</f>
        <v>9690</v>
      </c>
      <c r="D58" s="76">
        <f t="shared" si="9"/>
        <v>8903</v>
      </c>
      <c r="E58" s="76">
        <f t="shared" si="9"/>
        <v>8903</v>
      </c>
      <c r="F58" s="76">
        <f t="shared" si="9"/>
        <v>7023</v>
      </c>
      <c r="G58" s="76">
        <f t="shared" si="9"/>
        <v>7327</v>
      </c>
      <c r="H58" s="77">
        <f t="shared" si="9"/>
        <v>6319</v>
      </c>
    </row>
    <row r="59" spans="2:18" ht="12.75">
      <c r="B59" s="366"/>
      <c r="C59" s="200"/>
      <c r="D59" s="200"/>
      <c r="E59" s="200"/>
      <c r="F59" s="200"/>
      <c r="G59" s="200"/>
      <c r="H59" s="79"/>
      <c r="I59" s="8"/>
      <c r="J59" s="8"/>
      <c r="K59" s="8"/>
      <c r="L59" s="8"/>
      <c r="M59" s="8"/>
      <c r="N59" s="8"/>
      <c r="O59" s="8"/>
      <c r="P59" s="8"/>
      <c r="Q59" s="8"/>
      <c r="R59" s="8"/>
    </row>
    <row r="60" spans="2:18" ht="12.75">
      <c r="B60" s="365" t="s">
        <v>89</v>
      </c>
      <c r="C60" s="70">
        <f>+'Quarterly Data'!J49</f>
        <v>7126</v>
      </c>
      <c r="D60" s="70">
        <f>+'Quarterly Data'!R49</f>
        <v>6627</v>
      </c>
      <c r="E60" s="70">
        <f>+'Quarterly Data'!Z49</f>
        <v>6627</v>
      </c>
      <c r="F60" s="70">
        <f>+'Quarterly Data'!AH49</f>
        <v>5439</v>
      </c>
      <c r="G60" s="70">
        <f>+'Quarterly Data'!AP49</f>
        <v>5955</v>
      </c>
      <c r="H60" s="190">
        <f>+'Quarterly Data'!AX49</f>
        <v>5915</v>
      </c>
      <c r="I60" s="8"/>
      <c r="J60" s="8"/>
      <c r="K60" s="8"/>
      <c r="L60" s="8"/>
      <c r="M60" s="8"/>
      <c r="N60" s="8"/>
      <c r="O60" s="8"/>
      <c r="P60" s="8"/>
      <c r="Q60" s="8"/>
      <c r="R60" s="8"/>
    </row>
    <row r="61" spans="2:18" ht="12.75">
      <c r="B61" s="365" t="s">
        <v>117</v>
      </c>
      <c r="C61" s="71">
        <v>113</v>
      </c>
      <c r="D61" s="71">
        <v>510</v>
      </c>
      <c r="E61" s="71">
        <v>510</v>
      </c>
      <c r="F61" s="71">
        <v>437</v>
      </c>
      <c r="G61" s="71">
        <v>310</v>
      </c>
      <c r="H61" s="71">
        <v>288</v>
      </c>
      <c r="I61" s="72"/>
      <c r="J61" s="8"/>
      <c r="K61" s="8"/>
      <c r="L61" s="8"/>
      <c r="M61" s="8"/>
      <c r="N61" s="8"/>
      <c r="O61" s="8"/>
      <c r="P61" s="8"/>
      <c r="Q61" s="8"/>
      <c r="R61" s="8"/>
    </row>
    <row r="62" spans="1:8" s="6" customFormat="1" ht="12.75">
      <c r="A62" s="191"/>
      <c r="B62" s="364" t="s">
        <v>90</v>
      </c>
      <c r="C62" s="76">
        <f aca="true" t="shared" si="10" ref="C62:H62">+C60+C61</f>
        <v>7239</v>
      </c>
      <c r="D62" s="76">
        <f t="shared" si="10"/>
        <v>7137</v>
      </c>
      <c r="E62" s="76">
        <f t="shared" si="10"/>
        <v>7137</v>
      </c>
      <c r="F62" s="76">
        <f t="shared" si="10"/>
        <v>5876</v>
      </c>
      <c r="G62" s="76">
        <f t="shared" si="10"/>
        <v>6265</v>
      </c>
      <c r="H62" s="77">
        <f t="shared" si="10"/>
        <v>6203</v>
      </c>
    </row>
    <row r="63" spans="1:8" s="6" customFormat="1" ht="12.75">
      <c r="A63" s="191"/>
      <c r="B63" s="371"/>
      <c r="C63" s="202"/>
      <c r="D63" s="202"/>
      <c r="E63" s="202"/>
      <c r="F63" s="202"/>
      <c r="G63" s="202"/>
      <c r="H63" s="285"/>
    </row>
    <row r="64" spans="1:8" s="6" customFormat="1" ht="12.75">
      <c r="A64" s="191"/>
      <c r="B64" s="364" t="s">
        <v>91</v>
      </c>
      <c r="C64" s="76">
        <f>+'Quarterly Data'!J51</f>
        <v>2451</v>
      </c>
      <c r="D64" s="76">
        <f>+'Quarterly Data'!R51</f>
        <v>1766</v>
      </c>
      <c r="E64" s="76">
        <f>+'Quarterly Data'!Z51</f>
        <v>1766</v>
      </c>
      <c r="F64" s="76">
        <f>+'Quarterly Data'!AH51</f>
        <v>1147</v>
      </c>
      <c r="G64" s="76">
        <f>+'Quarterly Data'!AP51</f>
        <v>1062</v>
      </c>
      <c r="H64" s="77">
        <f>+'Quarterly Data'!AX51</f>
        <v>116</v>
      </c>
    </row>
    <row r="65" spans="2:18" ht="12.75">
      <c r="B65" s="366"/>
      <c r="C65" s="200"/>
      <c r="D65" s="200"/>
      <c r="E65" s="200"/>
      <c r="F65" s="200"/>
      <c r="G65" s="200"/>
      <c r="H65" s="79"/>
      <c r="I65" s="8"/>
      <c r="J65" s="8"/>
      <c r="K65" s="8"/>
      <c r="L65" s="8"/>
      <c r="M65" s="8"/>
      <c r="N65" s="8"/>
      <c r="O65" s="8"/>
      <c r="P65" s="8"/>
      <c r="Q65" s="8"/>
      <c r="R65" s="8"/>
    </row>
    <row r="66" spans="1:8" s="17" customFormat="1" ht="12.75">
      <c r="A66" s="209"/>
      <c r="B66" s="372" t="s">
        <v>0</v>
      </c>
      <c r="C66" s="259">
        <f aca="true" t="shared" si="11" ref="C66:H66">+C58-C62-C64</f>
        <v>0</v>
      </c>
      <c r="D66" s="259">
        <f t="shared" si="11"/>
        <v>0</v>
      </c>
      <c r="E66" s="259">
        <f t="shared" si="11"/>
        <v>0</v>
      </c>
      <c r="F66" s="259">
        <f t="shared" si="11"/>
        <v>0</v>
      </c>
      <c r="G66" s="259">
        <f t="shared" si="11"/>
        <v>0</v>
      </c>
      <c r="H66" s="294">
        <f t="shared" si="11"/>
        <v>0</v>
      </c>
    </row>
    <row r="67" spans="3:18" ht="12.75">
      <c r="C67" s="193"/>
      <c r="D67" s="193"/>
      <c r="E67" s="193"/>
      <c r="F67" s="193"/>
      <c r="H67" s="203"/>
      <c r="I67" s="203"/>
      <c r="J67" s="203"/>
      <c r="K67" s="203"/>
      <c r="L67" s="203"/>
      <c r="M67" s="203"/>
      <c r="N67" s="203"/>
      <c r="O67" s="8"/>
      <c r="P67" s="8"/>
      <c r="Q67" s="8"/>
      <c r="R67" s="8"/>
    </row>
    <row r="68" spans="3:18" ht="12.75">
      <c r="C68" s="193"/>
      <c r="D68" s="193"/>
      <c r="E68" s="193"/>
      <c r="F68" s="193"/>
      <c r="H68" s="203"/>
      <c r="I68" s="203"/>
      <c r="J68" s="203"/>
      <c r="K68" s="203"/>
      <c r="L68" s="203"/>
      <c r="M68" s="203"/>
      <c r="N68" s="203"/>
      <c r="O68" s="8"/>
      <c r="P68" s="8"/>
      <c r="Q68" s="8"/>
      <c r="R68" s="8"/>
    </row>
    <row r="69" spans="7:18" ht="12.75">
      <c r="G69" s="8"/>
      <c r="H69" s="203"/>
      <c r="I69" s="203"/>
      <c r="J69" s="203"/>
      <c r="K69" s="203"/>
      <c r="L69" s="203"/>
      <c r="M69" s="203"/>
      <c r="N69" s="203"/>
      <c r="O69" s="8"/>
      <c r="P69" s="8"/>
      <c r="Q69" s="8"/>
      <c r="R69" s="8"/>
    </row>
    <row r="70" spans="2:18" ht="12.75">
      <c r="B70" s="177"/>
      <c r="G70" s="8"/>
      <c r="H70" s="8"/>
      <c r="I70" s="8"/>
      <c r="J70" s="8"/>
      <c r="K70" s="8"/>
      <c r="L70" s="8"/>
      <c r="M70" s="8"/>
      <c r="N70" s="8"/>
      <c r="O70" s="8"/>
      <c r="P70" s="8"/>
      <c r="Q70" s="8"/>
      <c r="R70" s="8"/>
    </row>
    <row r="71" spans="2:18" ht="12.75">
      <c r="B71" s="752" t="s">
        <v>18</v>
      </c>
      <c r="C71" s="756"/>
      <c r="D71" s="756"/>
      <c r="E71" s="756"/>
      <c r="F71" s="756"/>
      <c r="G71" s="756"/>
      <c r="H71" s="756"/>
      <c r="I71" s="72"/>
      <c r="J71" s="8"/>
      <c r="K71" s="8"/>
      <c r="L71" s="8"/>
      <c r="M71" s="8"/>
      <c r="N71" s="8"/>
      <c r="O71" s="8"/>
      <c r="P71" s="8"/>
      <c r="Q71" s="8"/>
      <c r="R71" s="8"/>
    </row>
    <row r="72" spans="2:18" ht="12.75">
      <c r="B72" s="753"/>
      <c r="C72" s="375" t="str">
        <f aca="true" t="shared" si="12" ref="C72:H72">+C5</f>
        <v>2013 Restated</v>
      </c>
      <c r="D72" s="376">
        <f t="shared" si="12"/>
        <v>2014</v>
      </c>
      <c r="E72" s="375" t="str">
        <f t="shared" si="12"/>
        <v>2014 Restated</v>
      </c>
      <c r="F72" s="376">
        <f t="shared" si="12"/>
        <v>2015</v>
      </c>
      <c r="G72" s="375" t="str">
        <f t="shared" si="12"/>
        <v>2016 (1)</v>
      </c>
      <c r="H72" s="377">
        <f t="shared" si="12"/>
        <v>2017</v>
      </c>
      <c r="I72" s="8"/>
      <c r="J72" s="8"/>
      <c r="K72" s="8"/>
      <c r="L72" s="8"/>
      <c r="M72" s="8"/>
      <c r="N72" s="8"/>
      <c r="O72" s="8"/>
      <c r="P72" s="8"/>
      <c r="Q72" s="8"/>
      <c r="R72" s="8"/>
    </row>
    <row r="73" spans="2:18" ht="12.75">
      <c r="B73" s="366"/>
      <c r="C73" s="200"/>
      <c r="D73" s="212"/>
      <c r="E73" s="212"/>
      <c r="F73" s="212"/>
      <c r="G73" s="712"/>
      <c r="H73" s="292"/>
      <c r="I73" s="8"/>
      <c r="J73" s="8"/>
      <c r="K73" s="8"/>
      <c r="L73" s="8"/>
      <c r="M73" s="8"/>
      <c r="N73" s="8"/>
      <c r="O73" s="8"/>
      <c r="P73" s="8"/>
      <c r="Q73" s="8"/>
      <c r="R73" s="8"/>
    </row>
    <row r="74" spans="2:18" ht="12.75">
      <c r="B74" s="364" t="s">
        <v>404</v>
      </c>
      <c r="C74" s="213">
        <v>2508</v>
      </c>
      <c r="D74" s="76">
        <f>+C92</f>
        <v>2451</v>
      </c>
      <c r="E74" s="76">
        <f>+C64</f>
        <v>2451</v>
      </c>
      <c r="F74" s="76">
        <f>+D92</f>
        <v>1766</v>
      </c>
      <c r="G74" s="76">
        <f>+F92</f>
        <v>1147</v>
      </c>
      <c r="H74" s="77">
        <f>+G92</f>
        <v>1062</v>
      </c>
      <c r="I74" s="8"/>
      <c r="J74" s="8"/>
      <c r="K74" s="8"/>
      <c r="L74" s="8"/>
      <c r="M74" s="8"/>
      <c r="N74" s="8"/>
      <c r="O74" s="8"/>
      <c r="P74" s="8"/>
      <c r="Q74" s="8"/>
      <c r="R74" s="8"/>
    </row>
    <row r="75" spans="2:18" ht="12.75">
      <c r="B75" s="366"/>
      <c r="C75" s="200"/>
      <c r="D75" s="200"/>
      <c r="E75" s="200"/>
      <c r="F75" s="200"/>
      <c r="G75" s="200"/>
      <c r="H75" s="79"/>
      <c r="I75" s="8"/>
      <c r="J75" s="8"/>
      <c r="K75" s="8"/>
      <c r="L75" s="8"/>
      <c r="M75" s="8"/>
      <c r="N75" s="8"/>
      <c r="O75" s="8"/>
      <c r="P75" s="8"/>
      <c r="Q75" s="8"/>
      <c r="R75" s="8"/>
    </row>
    <row r="76" spans="2:18" ht="12.75">
      <c r="B76" s="365" t="s">
        <v>1</v>
      </c>
      <c r="C76" s="200">
        <f>+C24</f>
        <v>970</v>
      </c>
      <c r="D76" s="200">
        <f>+D24</f>
        <v>814</v>
      </c>
      <c r="E76" s="200">
        <f>+D24</f>
        <v>814</v>
      </c>
      <c r="F76" s="200">
        <f>+F24</f>
        <v>1261</v>
      </c>
      <c r="G76" s="200">
        <f>+G24</f>
        <v>653</v>
      </c>
      <c r="H76" s="204">
        <f>+H24</f>
        <v>803</v>
      </c>
      <c r="I76" s="8"/>
      <c r="J76" s="8"/>
      <c r="K76" s="8"/>
      <c r="L76" s="8"/>
      <c r="M76" s="8"/>
      <c r="N76" s="8"/>
      <c r="O76" s="8"/>
      <c r="P76" s="8"/>
      <c r="Q76" s="8"/>
      <c r="R76" s="8"/>
    </row>
    <row r="77" spans="2:18" ht="12.75">
      <c r="B77" s="365" t="s">
        <v>251</v>
      </c>
      <c r="C77" s="74">
        <v>-83</v>
      </c>
      <c r="D77" s="74">
        <v>-25</v>
      </c>
      <c r="E77" s="74">
        <v>-25</v>
      </c>
      <c r="F77" s="74">
        <v>38</v>
      </c>
      <c r="G77" s="74">
        <v>-76</v>
      </c>
      <c r="H77" s="75">
        <v>26</v>
      </c>
      <c r="I77" s="8"/>
      <c r="J77" s="8"/>
      <c r="K77" s="8"/>
      <c r="L77" s="8"/>
      <c r="M77" s="8"/>
      <c r="N77" s="8"/>
      <c r="O77" s="8"/>
      <c r="P77" s="8"/>
      <c r="Q77" s="8"/>
      <c r="R77" s="8"/>
    </row>
    <row r="78" spans="2:18" ht="12.75">
      <c r="B78" s="365" t="s">
        <v>268</v>
      </c>
      <c r="C78" s="74">
        <v>-93</v>
      </c>
      <c r="D78" s="74">
        <v>-98</v>
      </c>
      <c r="E78" s="74">
        <v>-98</v>
      </c>
      <c r="F78" s="74">
        <v>-45</v>
      </c>
      <c r="G78" s="74">
        <v>-55</v>
      </c>
      <c r="H78" s="75">
        <v>-20</v>
      </c>
      <c r="I78" s="8"/>
      <c r="J78" s="8"/>
      <c r="K78" s="8"/>
      <c r="L78" s="8"/>
      <c r="M78" s="8"/>
      <c r="N78" s="8"/>
      <c r="O78" s="8"/>
      <c r="P78" s="8"/>
      <c r="Q78" s="8"/>
      <c r="R78" s="8"/>
    </row>
    <row r="79" spans="1:8" s="9" customFormat="1" ht="12.75">
      <c r="A79" s="197"/>
      <c r="B79" s="365" t="s">
        <v>269</v>
      </c>
      <c r="C79" s="74">
        <v>-170</v>
      </c>
      <c r="D79" s="74">
        <v>-249</v>
      </c>
      <c r="E79" s="74">
        <v>-249</v>
      </c>
      <c r="F79" s="74">
        <v>-120</v>
      </c>
      <c r="G79" s="74">
        <v>-196</v>
      </c>
      <c r="H79" s="75">
        <v>-63</v>
      </c>
    </row>
    <row r="80" spans="1:8" s="9" customFormat="1" ht="12.75">
      <c r="A80" s="197"/>
      <c r="B80" s="365" t="s">
        <v>92</v>
      </c>
      <c r="C80" s="74">
        <v>5</v>
      </c>
      <c r="D80" s="74">
        <v>9</v>
      </c>
      <c r="E80" s="74">
        <v>9</v>
      </c>
      <c r="F80" s="74">
        <v>8</v>
      </c>
      <c r="G80" s="74">
        <v>12</v>
      </c>
      <c r="H80" s="75">
        <v>17</v>
      </c>
    </row>
    <row r="81" spans="1:8" s="9" customFormat="1" ht="12.75">
      <c r="A81" s="197"/>
      <c r="B81" s="365" t="s">
        <v>270</v>
      </c>
      <c r="C81" s="74">
        <v>-15</v>
      </c>
      <c r="D81" s="74">
        <v>-21</v>
      </c>
      <c r="E81" s="74">
        <v>-21</v>
      </c>
      <c r="F81" s="74">
        <v>-16</v>
      </c>
      <c r="G81" s="74">
        <v>-15</v>
      </c>
      <c r="H81" s="75">
        <v>1</v>
      </c>
    </row>
    <row r="82" spans="1:8" s="9" customFormat="1" ht="12.75">
      <c r="A82" s="197"/>
      <c r="B82" s="364" t="s">
        <v>271</v>
      </c>
      <c r="C82" s="178">
        <f>+SUM(C76:C81)</f>
        <v>614</v>
      </c>
      <c r="D82" s="178">
        <f>+SUM(D76:D81)</f>
        <v>430</v>
      </c>
      <c r="E82" s="178">
        <f>+E76+E77+E78+E79+E80+E81</f>
        <v>430</v>
      </c>
      <c r="F82" s="178">
        <f>+SUM(F76:F81)</f>
        <v>1126</v>
      </c>
      <c r="G82" s="178">
        <f>+SUM(G76:G81)</f>
        <v>323</v>
      </c>
      <c r="H82" s="179">
        <f>+SUM(H76:H81)</f>
        <v>764</v>
      </c>
    </row>
    <row r="83" spans="1:8" s="9" customFormat="1" ht="12.75">
      <c r="A83" s="197"/>
      <c r="B83" s="365" t="s">
        <v>272</v>
      </c>
      <c r="C83" s="74">
        <v>-62</v>
      </c>
      <c r="D83" s="74">
        <v>408</v>
      </c>
      <c r="E83" s="74">
        <v>408</v>
      </c>
      <c r="F83" s="74">
        <v>19</v>
      </c>
      <c r="G83" s="74">
        <v>649</v>
      </c>
      <c r="H83" s="75">
        <v>208</v>
      </c>
    </row>
    <row r="84" spans="1:8" s="9" customFormat="1" ht="12.75">
      <c r="A84" s="197"/>
      <c r="B84" s="365" t="s">
        <v>252</v>
      </c>
      <c r="C84" s="74">
        <v>-201</v>
      </c>
      <c r="D84" s="74">
        <v>23</v>
      </c>
      <c r="E84" s="74">
        <v>23</v>
      </c>
      <c r="F84" s="74">
        <v>40</v>
      </c>
      <c r="G84" s="74">
        <v>-177</v>
      </c>
      <c r="H84" s="75">
        <v>-8</v>
      </c>
    </row>
    <row r="85" spans="1:8" s="9" customFormat="1" ht="12.75">
      <c r="A85" s="197"/>
      <c r="B85" s="365" t="s">
        <v>273</v>
      </c>
      <c r="C85" s="74">
        <v>-308</v>
      </c>
      <c r="D85" s="74">
        <v>-92</v>
      </c>
      <c r="E85" s="74">
        <v>-92</v>
      </c>
      <c r="F85" s="74">
        <v>-535</v>
      </c>
      <c r="G85" s="74">
        <v>-555</v>
      </c>
      <c r="H85" s="75">
        <v>-489</v>
      </c>
    </row>
    <row r="86" spans="1:8" s="9" customFormat="1" ht="12.75">
      <c r="A86" s="197"/>
      <c r="B86" s="365" t="s">
        <v>568</v>
      </c>
      <c r="C86" s="74">
        <v>0</v>
      </c>
      <c r="D86" s="74"/>
      <c r="E86" s="74">
        <v>0</v>
      </c>
      <c r="F86" s="74">
        <v>0</v>
      </c>
      <c r="G86" s="74">
        <v>0</v>
      </c>
      <c r="H86" s="75">
        <v>489</v>
      </c>
    </row>
    <row r="87" spans="2:18" ht="12.75">
      <c r="B87" s="373" t="s">
        <v>274</v>
      </c>
      <c r="C87" s="178">
        <f aca="true" t="shared" si="13" ref="C87:H87">+SUM(C82:C86)</f>
        <v>43</v>
      </c>
      <c r="D87" s="178">
        <f t="shared" si="13"/>
        <v>769</v>
      </c>
      <c r="E87" s="178">
        <f t="shared" si="13"/>
        <v>769</v>
      </c>
      <c r="F87" s="178">
        <f t="shared" si="13"/>
        <v>650</v>
      </c>
      <c r="G87" s="178">
        <f t="shared" si="13"/>
        <v>240</v>
      </c>
      <c r="H87" s="179">
        <f t="shared" si="13"/>
        <v>964</v>
      </c>
      <c r="I87" s="8"/>
      <c r="J87" s="8"/>
      <c r="K87" s="8"/>
      <c r="L87" s="8"/>
      <c r="M87" s="8"/>
      <c r="N87" s="8"/>
      <c r="O87" s="8"/>
      <c r="P87" s="8"/>
      <c r="Q87" s="8"/>
      <c r="R87" s="8"/>
    </row>
    <row r="88" spans="2:18" ht="12.75">
      <c r="B88" s="365" t="s">
        <v>275</v>
      </c>
      <c r="C88" s="74">
        <v>-20</v>
      </c>
      <c r="D88" s="74">
        <v>-76</v>
      </c>
      <c r="E88" s="74">
        <v>-76</v>
      </c>
      <c r="F88" s="74">
        <v>-93</v>
      </c>
      <c r="G88" s="74">
        <v>-77</v>
      </c>
      <c r="H88" s="75">
        <v>-46</v>
      </c>
      <c r="I88" s="8"/>
      <c r="J88" s="8"/>
      <c r="K88" s="8"/>
      <c r="L88" s="8"/>
      <c r="M88" s="8"/>
      <c r="N88" s="8"/>
      <c r="O88" s="8"/>
      <c r="P88" s="8"/>
      <c r="Q88" s="8"/>
      <c r="R88" s="8"/>
    </row>
    <row r="89" spans="2:18" ht="12.75">
      <c r="B89" s="365" t="s">
        <v>253</v>
      </c>
      <c r="C89" s="74">
        <v>34</v>
      </c>
      <c r="D89" s="74">
        <v>-8</v>
      </c>
      <c r="E89" s="74">
        <v>-8</v>
      </c>
      <c r="F89" s="74">
        <v>62</v>
      </c>
      <c r="G89" s="74">
        <v>-78</v>
      </c>
      <c r="H89" s="75">
        <v>28</v>
      </c>
      <c r="I89" s="8"/>
      <c r="J89" s="8"/>
      <c r="K89" s="8"/>
      <c r="L89" s="8"/>
      <c r="M89" s="8"/>
      <c r="N89" s="8"/>
      <c r="O89" s="8"/>
      <c r="P89" s="8"/>
      <c r="Q89" s="8"/>
      <c r="R89" s="8"/>
    </row>
    <row r="90" spans="2:18" ht="12.75">
      <c r="B90" s="373" t="s">
        <v>276</v>
      </c>
      <c r="C90" s="178">
        <f>+SUM(C87:C89)</f>
        <v>57</v>
      </c>
      <c r="D90" s="178">
        <f>+SUM(D87:D89)</f>
        <v>685</v>
      </c>
      <c r="E90" s="178">
        <f>+E87+E88+E89</f>
        <v>685</v>
      </c>
      <c r="F90" s="178">
        <f>+SUM(F87:F89)</f>
        <v>619</v>
      </c>
      <c r="G90" s="178">
        <f>+SUM(G87:G89)</f>
        <v>85</v>
      </c>
      <c r="H90" s="179">
        <f>+SUM(H87:H89)</f>
        <v>946</v>
      </c>
      <c r="I90" s="8"/>
      <c r="J90" s="8"/>
      <c r="K90" s="8"/>
      <c r="L90" s="8"/>
      <c r="M90" s="8"/>
      <c r="N90" s="8"/>
      <c r="O90" s="8"/>
      <c r="P90" s="8"/>
      <c r="Q90" s="8"/>
      <c r="R90" s="8"/>
    </row>
    <row r="91" spans="2:18" ht="12.75">
      <c r="B91" s="366"/>
      <c r="C91" s="200"/>
      <c r="D91" s="200"/>
      <c r="E91" s="200"/>
      <c r="F91" s="200"/>
      <c r="G91" s="200"/>
      <c r="H91" s="79"/>
      <c r="I91" s="8"/>
      <c r="J91" s="8"/>
      <c r="K91" s="8"/>
      <c r="L91" s="8"/>
      <c r="M91" s="8"/>
      <c r="N91" s="8"/>
      <c r="O91" s="8"/>
      <c r="P91" s="8"/>
      <c r="Q91" s="8"/>
      <c r="R91" s="8"/>
    </row>
    <row r="92" spans="2:18" ht="12.75">
      <c r="B92" s="374" t="s">
        <v>277</v>
      </c>
      <c r="C92" s="180">
        <f aca="true" t="shared" si="14" ref="C92:H92">+C74-C90</f>
        <v>2451</v>
      </c>
      <c r="D92" s="180">
        <f t="shared" si="14"/>
        <v>1766</v>
      </c>
      <c r="E92" s="180">
        <f t="shared" si="14"/>
        <v>1766</v>
      </c>
      <c r="F92" s="180">
        <f t="shared" si="14"/>
        <v>1147</v>
      </c>
      <c r="G92" s="180">
        <f t="shared" si="14"/>
        <v>1062</v>
      </c>
      <c r="H92" s="181">
        <f t="shared" si="14"/>
        <v>116</v>
      </c>
      <c r="I92" s="8"/>
      <c r="J92" s="8"/>
      <c r="K92" s="8"/>
      <c r="L92" s="8"/>
      <c r="M92" s="8"/>
      <c r="N92" s="8"/>
      <c r="O92" s="8"/>
      <c r="P92" s="8"/>
      <c r="Q92" s="8"/>
      <c r="R92" s="8"/>
    </row>
    <row r="93" spans="8:18" ht="12.75">
      <c r="H93" s="8"/>
      <c r="I93" s="8"/>
      <c r="J93" s="8"/>
      <c r="K93" s="8"/>
      <c r="L93" s="8"/>
      <c r="M93" s="8"/>
      <c r="N93" s="8"/>
      <c r="O93" s="8"/>
      <c r="P93" s="8"/>
      <c r="Q93" s="8"/>
      <c r="R93" s="8"/>
    </row>
    <row r="94" spans="2:18" ht="12.75">
      <c r="B94" s="289" t="s">
        <v>366</v>
      </c>
      <c r="C94" s="289"/>
      <c r="D94" s="289"/>
      <c r="E94" s="289"/>
      <c r="F94" s="289"/>
      <c r="G94" s="289"/>
      <c r="H94" s="8"/>
      <c r="I94" s="8"/>
      <c r="J94" s="8"/>
      <c r="K94" s="8"/>
      <c r="L94" s="8"/>
      <c r="M94" s="8"/>
      <c r="N94" s="8"/>
      <c r="O94" s="8"/>
      <c r="P94" s="8"/>
      <c r="Q94" s="8"/>
      <c r="R94" s="8"/>
    </row>
    <row r="95" spans="2:23" ht="12.75">
      <c r="B95" s="288" t="s">
        <v>368</v>
      </c>
      <c r="C95" s="288"/>
      <c r="D95" s="288"/>
      <c r="E95" s="288"/>
      <c r="F95" s="288"/>
      <c r="G95" s="288"/>
      <c r="H95" s="296"/>
      <c r="I95" s="296"/>
      <c r="J95" s="296"/>
      <c r="K95" s="296"/>
      <c r="L95" s="296"/>
      <c r="M95" s="296"/>
      <c r="N95" s="296"/>
      <c r="O95" s="296"/>
      <c r="P95" s="296"/>
      <c r="Q95" s="296"/>
      <c r="R95" s="296"/>
      <c r="S95" s="296"/>
      <c r="T95" s="296"/>
      <c r="U95" s="296"/>
      <c r="V95" s="296"/>
      <c r="W95" s="296"/>
    </row>
    <row r="96" spans="2:18" ht="12.75">
      <c r="B96" s="192" t="s">
        <v>372</v>
      </c>
      <c r="H96" s="8"/>
      <c r="I96" s="8"/>
      <c r="J96" s="8"/>
      <c r="K96" s="8"/>
      <c r="L96" s="8"/>
      <c r="M96" s="8"/>
      <c r="N96" s="8"/>
      <c r="O96" s="8"/>
      <c r="P96" s="8"/>
      <c r="Q96" s="8"/>
      <c r="R96" s="8"/>
    </row>
    <row r="97" spans="8:18" ht="12.75">
      <c r="H97" s="8"/>
      <c r="I97" s="8"/>
      <c r="J97" s="8"/>
      <c r="K97" s="8"/>
      <c r="L97" s="8"/>
      <c r="M97" s="8"/>
      <c r="N97" s="8"/>
      <c r="O97" s="8"/>
      <c r="P97" s="8"/>
      <c r="Q97" s="8"/>
      <c r="R97" s="8"/>
    </row>
    <row r="98" spans="1:7" s="17" customFormat="1" ht="12.75">
      <c r="A98" s="209"/>
      <c r="B98" s="192"/>
      <c r="C98" s="192"/>
      <c r="D98" s="192"/>
      <c r="E98" s="192"/>
      <c r="F98" s="192"/>
      <c r="G98" s="193"/>
    </row>
    <row r="99" spans="8:18" ht="12.75">
      <c r="H99" s="8"/>
      <c r="I99" s="8"/>
      <c r="J99" s="8"/>
      <c r="K99" s="8"/>
      <c r="L99" s="8"/>
      <c r="M99" s="8"/>
      <c r="N99" s="8"/>
      <c r="O99" s="8"/>
      <c r="P99" s="8"/>
      <c r="Q99" s="8"/>
      <c r="R99" s="8"/>
    </row>
    <row r="100" spans="8:18" ht="12.75">
      <c r="H100" s="8"/>
      <c r="I100" s="8"/>
      <c r="J100" s="8"/>
      <c r="K100" s="8"/>
      <c r="L100" s="8"/>
      <c r="M100" s="8"/>
      <c r="N100" s="8"/>
      <c r="O100" s="8"/>
      <c r="P100" s="8"/>
      <c r="Q100" s="8"/>
      <c r="R100" s="8"/>
    </row>
    <row r="101" spans="8:18" ht="12.75">
      <c r="H101" s="8"/>
      <c r="I101" s="8"/>
      <c r="J101" s="8"/>
      <c r="K101" s="8"/>
      <c r="L101" s="8"/>
      <c r="M101" s="8"/>
      <c r="N101" s="8"/>
      <c r="O101" s="8"/>
      <c r="P101" s="8"/>
      <c r="Q101" s="8"/>
      <c r="R101" s="8"/>
    </row>
    <row r="102" spans="8:18" ht="12.75">
      <c r="H102" s="8"/>
      <c r="I102" s="8"/>
      <c r="J102" s="8"/>
      <c r="K102" s="8"/>
      <c r="L102" s="8"/>
      <c r="M102" s="8"/>
      <c r="N102" s="8"/>
      <c r="O102" s="8"/>
      <c r="P102" s="8"/>
      <c r="Q102" s="8"/>
      <c r="R102" s="8"/>
    </row>
    <row r="103" spans="8:18" ht="12.75">
      <c r="H103" s="8"/>
      <c r="I103" s="8"/>
      <c r="J103" s="8"/>
      <c r="K103" s="8"/>
      <c r="L103" s="8"/>
      <c r="M103" s="8"/>
      <c r="N103" s="8"/>
      <c r="O103" s="8"/>
      <c r="P103" s="8"/>
      <c r="Q103" s="8"/>
      <c r="R103" s="8"/>
    </row>
    <row r="104" spans="8:18" ht="12.75">
      <c r="H104" s="8"/>
      <c r="I104" s="8"/>
      <c r="J104" s="8"/>
      <c r="K104" s="8"/>
      <c r="L104" s="8"/>
      <c r="M104" s="8"/>
      <c r="N104" s="8"/>
      <c r="O104" s="8"/>
      <c r="P104" s="8"/>
      <c r="Q104" s="8"/>
      <c r="R104" s="8"/>
    </row>
    <row r="105" spans="8:18" ht="12.75">
      <c r="H105" s="8"/>
      <c r="I105" s="8"/>
      <c r="J105" s="8"/>
      <c r="K105" s="8"/>
      <c r="L105" s="8"/>
      <c r="M105" s="8"/>
      <c r="N105" s="8"/>
      <c r="O105" s="8"/>
      <c r="P105" s="8"/>
      <c r="Q105" s="8"/>
      <c r="R105" s="8"/>
    </row>
    <row r="106" spans="8:18" ht="12.75">
      <c r="H106" s="8"/>
      <c r="I106" s="8"/>
      <c r="J106" s="8"/>
      <c r="K106" s="8"/>
      <c r="L106" s="8"/>
      <c r="M106" s="8"/>
      <c r="N106" s="8"/>
      <c r="O106" s="8"/>
      <c r="P106" s="8"/>
      <c r="Q106" s="8"/>
      <c r="R106" s="8"/>
    </row>
    <row r="107" spans="8:18" ht="12.75">
      <c r="H107" s="8"/>
      <c r="I107" s="8"/>
      <c r="J107" s="8"/>
      <c r="K107" s="8"/>
      <c r="L107" s="8"/>
      <c r="M107" s="8"/>
      <c r="N107" s="8"/>
      <c r="O107" s="8"/>
      <c r="P107" s="8"/>
      <c r="Q107" s="8"/>
      <c r="R107" s="8"/>
    </row>
    <row r="108" spans="8:18" ht="12.75">
      <c r="H108" s="8"/>
      <c r="I108" s="8"/>
      <c r="J108" s="8"/>
      <c r="K108" s="8"/>
      <c r="L108" s="8"/>
      <c r="M108" s="8"/>
      <c r="N108" s="8"/>
      <c r="O108" s="8"/>
      <c r="P108" s="8"/>
      <c r="Q108" s="8"/>
      <c r="R108" s="8"/>
    </row>
    <row r="109" spans="8:18" ht="12.75">
      <c r="H109" s="8"/>
      <c r="I109" s="8"/>
      <c r="J109" s="8"/>
      <c r="K109" s="8"/>
      <c r="L109" s="8"/>
      <c r="M109" s="8"/>
      <c r="N109" s="8"/>
      <c r="O109" s="8"/>
      <c r="P109" s="8"/>
      <c r="Q109" s="8"/>
      <c r="R109" s="8"/>
    </row>
    <row r="110" spans="8:18" ht="12.75">
      <c r="H110" s="8"/>
      <c r="I110" s="8"/>
      <c r="J110" s="8"/>
      <c r="K110" s="8"/>
      <c r="L110" s="8"/>
      <c r="M110" s="8"/>
      <c r="N110" s="8"/>
      <c r="O110" s="8"/>
      <c r="P110" s="8"/>
      <c r="Q110" s="8"/>
      <c r="R110" s="8"/>
    </row>
    <row r="111" spans="8:18" ht="12.75">
      <c r="H111" s="8"/>
      <c r="I111" s="8"/>
      <c r="J111" s="8"/>
      <c r="K111" s="8"/>
      <c r="L111" s="8"/>
      <c r="M111" s="8"/>
      <c r="N111" s="8"/>
      <c r="O111" s="8"/>
      <c r="P111" s="8"/>
      <c r="Q111" s="8"/>
      <c r="R111" s="8"/>
    </row>
    <row r="112" spans="8:18" ht="12.75">
      <c r="H112" s="8"/>
      <c r="I112" s="8"/>
      <c r="J112" s="8"/>
      <c r="K112" s="8"/>
      <c r="L112" s="8"/>
      <c r="M112" s="8"/>
      <c r="N112" s="8"/>
      <c r="O112" s="8"/>
      <c r="P112" s="8"/>
      <c r="Q112" s="8"/>
      <c r="R112" s="8"/>
    </row>
    <row r="113" spans="8:18" ht="12.75">
      <c r="H113" s="8"/>
      <c r="I113" s="8"/>
      <c r="J113" s="8"/>
      <c r="K113" s="8"/>
      <c r="L113" s="8"/>
      <c r="M113" s="8"/>
      <c r="N113" s="8"/>
      <c r="O113" s="8"/>
      <c r="P113" s="8"/>
      <c r="Q113" s="8"/>
      <c r="R113" s="8"/>
    </row>
    <row r="114" spans="8:18" ht="12.75">
      <c r="H114" s="8"/>
      <c r="I114" s="8"/>
      <c r="J114" s="8"/>
      <c r="K114" s="8"/>
      <c r="L114" s="8"/>
      <c r="M114" s="8"/>
      <c r="N114" s="8"/>
      <c r="O114" s="8"/>
      <c r="P114" s="8"/>
      <c r="Q114" s="8"/>
      <c r="R114" s="8"/>
    </row>
    <row r="115" spans="8:18" ht="12.75">
      <c r="H115" s="8"/>
      <c r="I115" s="8"/>
      <c r="J115" s="8"/>
      <c r="K115" s="8"/>
      <c r="L115" s="8"/>
      <c r="M115" s="8"/>
      <c r="N115" s="8"/>
      <c r="O115" s="8"/>
      <c r="P115" s="8"/>
      <c r="Q115" s="8"/>
      <c r="R115" s="8"/>
    </row>
    <row r="116" spans="8:18" ht="12.75">
      <c r="H116" s="8"/>
      <c r="I116" s="8"/>
      <c r="J116" s="8"/>
      <c r="K116" s="8"/>
      <c r="L116" s="8"/>
      <c r="M116" s="8"/>
      <c r="N116" s="8"/>
      <c r="O116" s="8"/>
      <c r="P116" s="8"/>
      <c r="Q116" s="8"/>
      <c r="R116" s="8"/>
    </row>
    <row r="117" spans="8:18" ht="12.75">
      <c r="H117" s="8"/>
      <c r="I117" s="8"/>
      <c r="J117" s="8"/>
      <c r="K117" s="8"/>
      <c r="L117" s="8"/>
      <c r="M117" s="8"/>
      <c r="N117" s="8"/>
      <c r="O117" s="8"/>
      <c r="P117" s="8"/>
      <c r="Q117" s="8"/>
      <c r="R117" s="8"/>
    </row>
    <row r="118" spans="8:18" ht="12.75">
      <c r="H118" s="8"/>
      <c r="I118" s="8"/>
      <c r="J118" s="8"/>
      <c r="K118" s="8"/>
      <c r="L118" s="8"/>
      <c r="M118" s="8"/>
      <c r="N118" s="8"/>
      <c r="O118" s="8"/>
      <c r="P118" s="8"/>
      <c r="Q118" s="8"/>
      <c r="R118" s="8"/>
    </row>
    <row r="119" spans="8:18" ht="12.75">
      <c r="H119" s="8"/>
      <c r="I119" s="8"/>
      <c r="J119" s="8"/>
      <c r="K119" s="8"/>
      <c r="L119" s="8"/>
      <c r="M119" s="8"/>
      <c r="N119" s="8"/>
      <c r="O119" s="8"/>
      <c r="P119" s="8"/>
      <c r="Q119" s="8"/>
      <c r="R119" s="8"/>
    </row>
    <row r="120" spans="8:18" ht="12.75">
      <c r="H120" s="8"/>
      <c r="I120" s="8"/>
      <c r="J120" s="8"/>
      <c r="K120" s="8"/>
      <c r="L120" s="8"/>
      <c r="M120" s="8"/>
      <c r="N120" s="8"/>
      <c r="O120" s="8"/>
      <c r="P120" s="8"/>
      <c r="Q120" s="8"/>
      <c r="R120" s="8"/>
    </row>
    <row r="121" spans="8:18" ht="12.75">
      <c r="H121" s="8"/>
      <c r="I121" s="8"/>
      <c r="J121" s="8"/>
      <c r="K121" s="8"/>
      <c r="L121" s="8"/>
      <c r="M121" s="8"/>
      <c r="N121" s="8"/>
      <c r="O121" s="8"/>
      <c r="P121" s="8"/>
      <c r="Q121" s="8"/>
      <c r="R121" s="8"/>
    </row>
    <row r="122" spans="8:18" ht="12.75">
      <c r="H122" s="8"/>
      <c r="I122" s="8"/>
      <c r="J122" s="8"/>
      <c r="K122" s="8"/>
      <c r="L122" s="8"/>
      <c r="M122" s="8"/>
      <c r="N122" s="8"/>
      <c r="O122" s="8"/>
      <c r="P122" s="8"/>
      <c r="Q122" s="8"/>
      <c r="R122" s="8"/>
    </row>
    <row r="123" spans="8:18" ht="12.75">
      <c r="H123" s="8"/>
      <c r="I123" s="8"/>
      <c r="J123" s="8"/>
      <c r="K123" s="8"/>
      <c r="L123" s="8"/>
      <c r="M123" s="8"/>
      <c r="N123" s="8"/>
      <c r="O123" s="8"/>
      <c r="P123" s="8"/>
      <c r="Q123" s="8"/>
      <c r="R123" s="8"/>
    </row>
    <row r="124" spans="8:18" ht="12.75">
      <c r="H124" s="8"/>
      <c r="I124" s="8"/>
      <c r="J124" s="8"/>
      <c r="K124" s="8"/>
      <c r="L124" s="8"/>
      <c r="M124" s="8"/>
      <c r="N124" s="8"/>
      <c r="O124" s="8"/>
      <c r="P124" s="8"/>
      <c r="Q124" s="8"/>
      <c r="R124" s="8"/>
    </row>
  </sheetData>
  <sheetProtection/>
  <mergeCells count="6">
    <mergeCell ref="B71:B72"/>
    <mergeCell ref="B4:B5"/>
    <mergeCell ref="B46:B47"/>
    <mergeCell ref="C4:H4"/>
    <mergeCell ref="C46:H46"/>
    <mergeCell ref="C71:H71"/>
  </mergeCells>
  <printOptions horizontalCentered="1"/>
  <pageMargins left="0.3937007874015748" right="0.4724409448818898" top="0.6299212598425197" bottom="0.6299212598425197" header="0.5118110236220472" footer="0.5118110236220472"/>
  <pageSetup fitToHeight="2" fitToWidth="2" horizontalDpi="600" verticalDpi="600" orientation="portrait" paperSize="9" scale="55" r:id="rId1"/>
  <rowBreaks count="1" manualBreakCount="1">
    <brk id="44" max="255" man="1"/>
  </rowBreaks>
</worksheet>
</file>

<file path=xl/worksheets/sheet10.xml><?xml version="1.0" encoding="utf-8"?>
<worksheet xmlns="http://schemas.openxmlformats.org/spreadsheetml/2006/main" xmlns:r="http://schemas.openxmlformats.org/officeDocument/2006/relationships">
  <dimension ref="A1:E35"/>
  <sheetViews>
    <sheetView tabSelected="1" zoomScalePageLayoutView="0" workbookViewId="0" topLeftCell="A1">
      <selection activeCell="A1" sqref="A1"/>
    </sheetView>
  </sheetViews>
  <sheetFormatPr defaultColWidth="9.140625" defaultRowHeight="12.75"/>
  <cols>
    <col min="1" max="1" width="3.00390625" style="0" customWidth="1"/>
    <col min="2" max="2" width="58.140625" style="0" customWidth="1"/>
    <col min="3" max="3" width="22.421875" style="0" customWidth="1"/>
  </cols>
  <sheetData>
    <row r="1" spans="1:4" ht="15.75">
      <c r="A1" s="720" t="s">
        <v>605</v>
      </c>
      <c r="B1" s="167"/>
      <c r="C1" s="167"/>
      <c r="D1" s="167"/>
    </row>
    <row r="2" spans="1:4" ht="13.5" thickBot="1">
      <c r="A2" s="167"/>
      <c r="B2" s="167"/>
      <c r="C2" s="167"/>
      <c r="D2" s="167"/>
    </row>
    <row r="3" spans="1:5" ht="15.75" thickBot="1">
      <c r="A3" s="167"/>
      <c r="B3" s="675" t="s">
        <v>488</v>
      </c>
      <c r="C3" s="679" t="s">
        <v>353</v>
      </c>
      <c r="D3" s="675" t="s">
        <v>354</v>
      </c>
      <c r="E3" s="12"/>
    </row>
    <row r="4" spans="1:5" ht="15">
      <c r="A4" s="167"/>
      <c r="B4" s="654" t="s">
        <v>114</v>
      </c>
      <c r="C4" s="659">
        <v>4621.007009999999</v>
      </c>
      <c r="D4" s="399">
        <v>15</v>
      </c>
      <c r="E4" s="12"/>
    </row>
    <row r="5" spans="1:5" ht="15">
      <c r="A5" s="167"/>
      <c r="B5" s="654" t="s">
        <v>115</v>
      </c>
      <c r="C5" s="659">
        <v>1132.292756763022</v>
      </c>
      <c r="D5" s="399">
        <v>89</v>
      </c>
      <c r="E5" s="12"/>
    </row>
    <row r="6" spans="1:5" ht="15">
      <c r="A6" s="167"/>
      <c r="B6" s="654" t="s">
        <v>355</v>
      </c>
      <c r="C6" s="659">
        <v>588.8799999999999</v>
      </c>
      <c r="D6" s="399">
        <v>33</v>
      </c>
      <c r="E6" s="12"/>
    </row>
    <row r="7" spans="1:4" ht="15">
      <c r="A7" s="167"/>
      <c r="B7" s="654" t="s">
        <v>356</v>
      </c>
      <c r="C7" s="659">
        <v>9.3</v>
      </c>
      <c r="D7" s="399">
        <v>5</v>
      </c>
    </row>
    <row r="8" spans="1:4" ht="15.75" thickBot="1">
      <c r="A8" s="167"/>
      <c r="B8" s="654" t="s">
        <v>179</v>
      </c>
      <c r="C8" s="659">
        <v>6</v>
      </c>
      <c r="D8" s="399">
        <v>1</v>
      </c>
    </row>
    <row r="9" spans="1:4" ht="15.75" thickBot="1">
      <c r="A9" s="167"/>
      <c r="B9" s="660" t="s">
        <v>357</v>
      </c>
      <c r="C9" s="661">
        <f>SUM(C4:C8)</f>
        <v>6357.479766763022</v>
      </c>
      <c r="D9" s="661">
        <f>SUM(D4:D8)</f>
        <v>143</v>
      </c>
    </row>
    <row r="10" spans="1:5" s="298" customFormat="1" ht="15.75" thickBot="1">
      <c r="A10" s="167"/>
      <c r="B10" s="393"/>
      <c r="C10" s="393"/>
      <c r="D10" s="393"/>
      <c r="E10" s="3"/>
    </row>
    <row r="11" spans="1:4" ht="15.75" thickBot="1">
      <c r="A11" s="167"/>
      <c r="B11" s="662" t="s">
        <v>489</v>
      </c>
      <c r="C11" s="663">
        <v>415.89266</v>
      </c>
      <c r="D11" s="664">
        <v>3</v>
      </c>
    </row>
    <row r="12" spans="1:4" ht="13.5" thickBot="1">
      <c r="A12" s="167"/>
      <c r="B12" s="167"/>
      <c r="C12" s="167"/>
      <c r="D12" s="167"/>
    </row>
    <row r="13" spans="1:4" ht="15.75" thickBot="1">
      <c r="A13" s="167"/>
      <c r="B13" s="675" t="s">
        <v>564</v>
      </c>
      <c r="C13" s="724" t="s">
        <v>353</v>
      </c>
      <c r="D13" s="733" t="s">
        <v>354</v>
      </c>
    </row>
    <row r="14" spans="1:4" ht="15">
      <c r="A14" s="167"/>
      <c r="B14" s="654" t="s">
        <v>114</v>
      </c>
      <c r="C14" s="565">
        <f>'Energy efficiency in Italy'!I28+'Energy efficiency in Italy'!I57+'Energy efficiency in Italy'!I58</f>
        <v>196.01500000000001</v>
      </c>
      <c r="D14" s="665">
        <v>22</v>
      </c>
    </row>
    <row r="15" spans="1:5" ht="15">
      <c r="A15" s="167"/>
      <c r="B15" s="654" t="s">
        <v>115</v>
      </c>
      <c r="C15" s="565">
        <f>'Energy efficiency in Italy'!I35</f>
        <v>1.5</v>
      </c>
      <c r="D15" s="665">
        <v>1</v>
      </c>
      <c r="E15" s="12"/>
    </row>
    <row r="16" spans="1:4" ht="15">
      <c r="A16" s="167"/>
      <c r="B16" s="654" t="s">
        <v>356</v>
      </c>
      <c r="C16" s="565">
        <f>'Energy efficiency in Italy'!I48+'Energy efficiency in Italy'!I59</f>
        <v>3.28825</v>
      </c>
      <c r="D16" s="665">
        <v>4</v>
      </c>
    </row>
    <row r="17" spans="1:4" ht="15.75" thickBot="1">
      <c r="A17" s="167"/>
      <c r="B17" s="654" t="s">
        <v>113</v>
      </c>
      <c r="C17" s="565">
        <f>'Energy efficiency in Italy'!I55</f>
        <v>12</v>
      </c>
      <c r="D17" s="665">
        <v>1</v>
      </c>
    </row>
    <row r="18" spans="1:4" ht="15.75" thickBot="1">
      <c r="A18" s="167"/>
      <c r="B18" s="660" t="s">
        <v>357</v>
      </c>
      <c r="C18" s="661">
        <f>SUM(C14:C17)</f>
        <v>212.80325000000002</v>
      </c>
      <c r="D18" s="661">
        <f>SUM(D14:D17)</f>
        <v>28</v>
      </c>
    </row>
    <row r="19" spans="1:4" ht="12.75">
      <c r="A19" s="167"/>
      <c r="B19" s="167"/>
      <c r="C19" s="167"/>
      <c r="D19" s="167"/>
    </row>
    <row r="20" ht="12.75">
      <c r="B20" s="1"/>
    </row>
    <row r="22" spans="2:3" ht="12.75">
      <c r="B22" s="299"/>
      <c r="C22" s="300"/>
    </row>
    <row r="23" spans="2:3" ht="12.75">
      <c r="B23" s="12"/>
      <c r="C23" s="300"/>
    </row>
    <row r="24" spans="2:3" ht="12.75">
      <c r="B24" s="12"/>
      <c r="C24" s="300"/>
    </row>
    <row r="25" spans="2:3" ht="12.75">
      <c r="B25" s="12"/>
      <c r="C25" s="300"/>
    </row>
    <row r="26" spans="2:3" ht="12.75">
      <c r="B26" s="12"/>
      <c r="C26" s="300"/>
    </row>
    <row r="27" spans="2:3" ht="12.75">
      <c r="B27" s="12"/>
      <c r="C27" s="300"/>
    </row>
    <row r="28" ht="12.75">
      <c r="C28" s="300"/>
    </row>
    <row r="29" spans="2:4" ht="12.75">
      <c r="B29" s="12"/>
      <c r="C29" s="301"/>
      <c r="D29" s="12"/>
    </row>
    <row r="35" ht="12.75">
      <c r="C35" s="30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R78"/>
  <sheetViews>
    <sheetView zoomScale="85" zoomScaleNormal="85" zoomScalePageLayoutView="0" workbookViewId="0" topLeftCell="A16">
      <selection activeCell="O33" sqref="O33"/>
    </sheetView>
  </sheetViews>
  <sheetFormatPr defaultColWidth="9.140625" defaultRowHeight="12.75" outlineLevelCol="1"/>
  <cols>
    <col min="1" max="1" width="6.421875" style="28" customWidth="1"/>
    <col min="2" max="2" width="49.421875" style="28" customWidth="1"/>
    <col min="3" max="3" width="14.8515625" style="28" customWidth="1"/>
    <col min="4" max="4" width="12.8515625" style="28" hidden="1" customWidth="1" outlineLevel="1"/>
    <col min="5" max="5" width="14.140625" style="28" customWidth="1" collapsed="1"/>
    <col min="6" max="6" width="12.8515625" style="28" customWidth="1"/>
    <col min="7" max="7" width="10.7109375" style="29" customWidth="1"/>
    <col min="8" max="11" width="11.28125" style="28" customWidth="1"/>
    <col min="12" max="14" width="9.140625" style="28" customWidth="1"/>
    <col min="15" max="18" width="9.140625" style="121" customWidth="1"/>
    <col min="19" max="16384" width="9.140625" style="28" customWidth="1"/>
  </cols>
  <sheetData>
    <row r="2" ht="15.75">
      <c r="B2" s="124" t="s">
        <v>495</v>
      </c>
    </row>
    <row r="3" spans="1:2" ht="12.75">
      <c r="A3" s="26"/>
      <c r="B3" s="27"/>
    </row>
    <row r="4" spans="1:18" ht="12.75">
      <c r="A4" s="30"/>
      <c r="B4" s="752" t="s">
        <v>208</v>
      </c>
      <c r="C4" s="758"/>
      <c r="D4" s="758"/>
      <c r="E4" s="758"/>
      <c r="F4" s="758"/>
      <c r="G4" s="758"/>
      <c r="H4" s="759"/>
      <c r="O4" s="28"/>
      <c r="P4" s="28"/>
      <c r="Q4" s="28"/>
      <c r="R4" s="28"/>
    </row>
    <row r="5" spans="1:8" s="32" customFormat="1" ht="12.75">
      <c r="A5" s="30"/>
      <c r="B5" s="753"/>
      <c r="C5" s="378" t="s">
        <v>369</v>
      </c>
      <c r="D5" s="378">
        <v>2014</v>
      </c>
      <c r="E5" s="378" t="s">
        <v>370</v>
      </c>
      <c r="F5" s="378">
        <v>2015</v>
      </c>
      <c r="G5" s="378" t="s">
        <v>371</v>
      </c>
      <c r="H5" s="379">
        <v>2017</v>
      </c>
    </row>
    <row r="6" spans="1:8" s="34" customFormat="1" ht="12.75">
      <c r="A6" s="33"/>
      <c r="B6" s="350"/>
      <c r="C6" s="40"/>
      <c r="D6" s="40"/>
      <c r="E6" s="40"/>
      <c r="F6" s="40"/>
      <c r="G6" s="708"/>
      <c r="H6" s="361"/>
    </row>
    <row r="7" spans="1:8" s="9" customFormat="1" ht="12.75">
      <c r="A7" s="20"/>
      <c r="B7" s="351" t="s">
        <v>98</v>
      </c>
      <c r="C7" s="203">
        <f>+'Quarterly Data'!J62</f>
        <v>7162</v>
      </c>
      <c r="D7" s="203">
        <f>+'Quarterly Data'!R62</f>
        <v>7859</v>
      </c>
      <c r="E7" s="203">
        <f>+'Quarterly Data'!Z62</f>
        <v>7859</v>
      </c>
      <c r="F7" s="203">
        <f>+'Quarterly Data'!AH62</f>
        <v>6529</v>
      </c>
      <c r="G7" s="203">
        <f>+'Quarterly Data'!AP62</f>
        <v>5682</v>
      </c>
      <c r="H7" s="206">
        <f>+'Quarterly Data'!AX62</f>
        <v>5127</v>
      </c>
    </row>
    <row r="8" spans="2:8" s="29" customFormat="1" ht="12.75">
      <c r="B8" s="352"/>
      <c r="C8" s="40"/>
      <c r="D8" s="40"/>
      <c r="E8" s="40"/>
      <c r="F8" s="40"/>
      <c r="G8" s="40"/>
      <c r="H8" s="206"/>
    </row>
    <row r="9" spans="2:8" s="29" customFormat="1" ht="12.75">
      <c r="B9" s="353" t="s">
        <v>367</v>
      </c>
      <c r="C9" s="202">
        <f>+'Quarterly Data'!J64</f>
        <v>666</v>
      </c>
      <c r="D9" s="202">
        <f>+'Quarterly Data'!R64</f>
        <v>690</v>
      </c>
      <c r="E9" s="265">
        <f>+'Quarterly Data'!Z64</f>
        <v>690</v>
      </c>
      <c r="F9" s="202">
        <f>+'Quarterly Data'!AH64</f>
        <v>276</v>
      </c>
      <c r="G9" s="202">
        <f>+'Quarterly Data'!AP64</f>
        <v>242</v>
      </c>
      <c r="H9" s="210">
        <f>+'Quarterly Data'!AX64</f>
        <v>265</v>
      </c>
    </row>
    <row r="10" spans="2:8" s="37" customFormat="1" ht="12.75">
      <c r="B10" s="353" t="s">
        <v>496</v>
      </c>
      <c r="C10" s="202">
        <f>+'Quarterly Data'!J65</f>
        <v>656</v>
      </c>
      <c r="D10" s="202">
        <f>+'Quarterly Data'!R65</f>
        <v>652</v>
      </c>
      <c r="E10" s="265">
        <f>+'Quarterly Data'!Z65</f>
        <v>652</v>
      </c>
      <c r="F10" s="202">
        <f>+'Quarterly Data'!AH65</f>
        <v>360</v>
      </c>
      <c r="G10" s="202">
        <f>+'Quarterly Data'!AP65</f>
        <v>386</v>
      </c>
      <c r="H10" s="210">
        <f>+'Quarterly Data'!AX65</f>
        <v>289</v>
      </c>
    </row>
    <row r="11" spans="2:8" s="29" customFormat="1" ht="12.75">
      <c r="B11" s="352"/>
      <c r="C11" s="40"/>
      <c r="D11" s="40"/>
      <c r="E11" s="40"/>
      <c r="F11" s="40"/>
      <c r="G11" s="40"/>
      <c r="H11" s="206"/>
    </row>
    <row r="12" spans="2:8" s="9" customFormat="1" ht="12.75">
      <c r="B12" s="136" t="s">
        <v>285</v>
      </c>
      <c r="C12" s="25">
        <f>+'Quarterly Data'!J67</f>
        <v>22</v>
      </c>
      <c r="D12" s="25">
        <f>+'Quarterly Data'!R67</f>
        <v>6</v>
      </c>
      <c r="E12" s="25">
        <f>+'Quarterly Data'!Z67</f>
        <v>6</v>
      </c>
      <c r="F12" s="25">
        <f>+'Quarterly Data'!AH67</f>
        <v>-16</v>
      </c>
      <c r="G12" s="25">
        <f>+'Quarterly Data'!AP67</f>
        <v>11</v>
      </c>
      <c r="H12" s="206">
        <f>+'Quarterly Data'!AX67</f>
        <v>4</v>
      </c>
    </row>
    <row r="13" spans="2:8" s="35" customFormat="1" ht="12.75">
      <c r="B13" s="172" t="s">
        <v>376</v>
      </c>
      <c r="C13" s="25">
        <f>+'Quarterly Data'!J68</f>
        <v>-245</v>
      </c>
      <c r="D13" s="25">
        <f>+'Quarterly Data'!R68</f>
        <v>-231</v>
      </c>
      <c r="E13" s="25">
        <f>+'Quarterly Data'!Z68</f>
        <v>-231</v>
      </c>
      <c r="F13" s="25">
        <f>+'Quarterly Data'!AH68</f>
        <v>-252</v>
      </c>
      <c r="G13" s="25">
        <f>+'Quarterly Data'!AP68</f>
        <v>-211</v>
      </c>
      <c r="H13" s="206">
        <f>+'Quarterly Data'!AX68</f>
        <v>-226</v>
      </c>
    </row>
    <row r="14" spans="2:8" s="35" customFormat="1" ht="12.75">
      <c r="B14" s="136" t="s">
        <v>377</v>
      </c>
      <c r="C14" s="25">
        <f>+'Quarterly Data'!J69</f>
        <v>-46</v>
      </c>
      <c r="D14" s="25">
        <f>+'Quarterly Data'!R69</f>
        <v>-167</v>
      </c>
      <c r="E14" s="25">
        <f>+'Quarterly Data'!Z69</f>
        <v>-167</v>
      </c>
      <c r="F14" s="25">
        <f>+'Quarterly Data'!AH69</f>
        <v>-1069</v>
      </c>
      <c r="G14" s="25">
        <f>+'Quarterly Data'!AP69</f>
        <v>-2</v>
      </c>
      <c r="H14" s="206">
        <f>+'Quarterly Data'!AX69</f>
        <v>-49</v>
      </c>
    </row>
    <row r="15" spans="2:8" s="35" customFormat="1" ht="12.75">
      <c r="B15" s="91" t="s">
        <v>286</v>
      </c>
      <c r="C15" s="87">
        <v>0</v>
      </c>
      <c r="D15" s="40"/>
      <c r="E15" s="40">
        <v>0</v>
      </c>
      <c r="F15" s="40">
        <v>0</v>
      </c>
      <c r="G15" s="40">
        <v>0</v>
      </c>
      <c r="H15" s="206">
        <f>+'Quarterly Data'!AX70</f>
        <v>15</v>
      </c>
    </row>
    <row r="16" spans="2:8" s="35" customFormat="1" ht="12.75">
      <c r="B16" s="136"/>
      <c r="C16" s="40"/>
      <c r="D16" s="40"/>
      <c r="E16" s="40"/>
      <c r="F16" s="40"/>
      <c r="G16" s="40"/>
      <c r="H16" s="206"/>
    </row>
    <row r="17" spans="1:8" s="29" customFormat="1" ht="12.75">
      <c r="A17" s="35"/>
      <c r="B17" s="353" t="s">
        <v>361</v>
      </c>
      <c r="C17" s="202">
        <f>+'Quarterly Data'!J72</f>
        <v>387</v>
      </c>
      <c r="D17" s="202">
        <f>+'Quarterly Data'!R72</f>
        <v>260</v>
      </c>
      <c r="E17" s="202">
        <f>+'Quarterly Data'!Z72</f>
        <v>260</v>
      </c>
      <c r="F17" s="202">
        <f>+'Quarterly Data'!AH72</f>
        <v>-977</v>
      </c>
      <c r="G17" s="202">
        <f>+'Quarterly Data'!AP72</f>
        <v>184</v>
      </c>
      <c r="H17" s="210">
        <f>+'Quarterly Data'!AX72</f>
        <v>33</v>
      </c>
    </row>
    <row r="18" spans="2:8" s="29" customFormat="1" ht="12.75">
      <c r="B18" s="352"/>
      <c r="C18" s="40"/>
      <c r="D18" s="40"/>
      <c r="E18" s="40"/>
      <c r="F18" s="40"/>
      <c r="G18" s="40"/>
      <c r="H18" s="206"/>
    </row>
    <row r="19" spans="2:8" s="29" customFormat="1" ht="12.75">
      <c r="B19" s="352"/>
      <c r="C19" s="40"/>
      <c r="D19" s="40"/>
      <c r="E19" s="40"/>
      <c r="F19" s="40"/>
      <c r="G19" s="40"/>
      <c r="H19" s="206"/>
    </row>
    <row r="20" spans="1:8" s="35" customFormat="1" ht="12.75">
      <c r="A20" s="29"/>
      <c r="B20" s="354" t="s">
        <v>94</v>
      </c>
      <c r="C20" s="169">
        <v>8191</v>
      </c>
      <c r="D20" s="169">
        <v>8067</v>
      </c>
      <c r="E20" s="169">
        <v>8067</v>
      </c>
      <c r="F20" s="169">
        <v>5672</v>
      </c>
      <c r="G20" s="169">
        <v>6243</v>
      </c>
      <c r="H20" s="168">
        <v>5224</v>
      </c>
    </row>
    <row r="21" spans="2:8" s="37" customFormat="1" ht="12.75">
      <c r="B21" s="354"/>
      <c r="C21" s="39"/>
      <c r="D21" s="39"/>
      <c r="E21" s="39"/>
      <c r="F21" s="39"/>
      <c r="G21" s="39"/>
      <c r="H21" s="86"/>
    </row>
    <row r="22" spans="2:8" s="36" customFormat="1" ht="12.75">
      <c r="B22" s="352" t="s">
        <v>95</v>
      </c>
      <c r="C22" s="73">
        <v>25</v>
      </c>
      <c r="D22" s="73">
        <v>43</v>
      </c>
      <c r="E22" s="73">
        <v>43</v>
      </c>
      <c r="F22" s="73">
        <v>42</v>
      </c>
      <c r="G22" s="73">
        <v>98</v>
      </c>
      <c r="H22" s="81">
        <v>133</v>
      </c>
    </row>
    <row r="23" spans="2:8" s="36" customFormat="1" ht="12.75">
      <c r="B23" s="355" t="s">
        <v>96</v>
      </c>
      <c r="C23" s="73">
        <v>6</v>
      </c>
      <c r="D23" s="73">
        <v>3</v>
      </c>
      <c r="E23" s="73">
        <v>3</v>
      </c>
      <c r="F23" s="73">
        <v>1</v>
      </c>
      <c r="G23" s="73">
        <v>9</v>
      </c>
      <c r="H23" s="81">
        <v>7</v>
      </c>
    </row>
    <row r="24" spans="2:8" s="37" customFormat="1" ht="12.75">
      <c r="B24" s="354" t="s">
        <v>97</v>
      </c>
      <c r="C24" s="39">
        <f aca="true" t="shared" si="0" ref="C24:H24">+C22+C23</f>
        <v>31</v>
      </c>
      <c r="D24" s="39">
        <f t="shared" si="0"/>
        <v>46</v>
      </c>
      <c r="E24" s="39">
        <f t="shared" si="0"/>
        <v>46</v>
      </c>
      <c r="F24" s="39">
        <f t="shared" si="0"/>
        <v>43</v>
      </c>
      <c r="G24" s="39">
        <f t="shared" si="0"/>
        <v>107</v>
      </c>
      <c r="H24" s="86">
        <f t="shared" si="0"/>
        <v>140</v>
      </c>
    </row>
    <row r="25" spans="2:8" s="37" customFormat="1" ht="12.75">
      <c r="B25" s="354"/>
      <c r="C25" s="39"/>
      <c r="D25" s="39"/>
      <c r="E25" s="39"/>
      <c r="F25" s="39"/>
      <c r="G25" s="39"/>
      <c r="H25" s="206"/>
    </row>
    <row r="26" spans="2:8" s="31" customFormat="1" ht="15" customHeight="1">
      <c r="B26" s="356" t="s">
        <v>77</v>
      </c>
      <c r="C26" s="214">
        <v>1138</v>
      </c>
      <c r="D26" s="214">
        <v>1051</v>
      </c>
      <c r="E26" s="214">
        <v>1051</v>
      </c>
      <c r="F26" s="214">
        <v>1030</v>
      </c>
      <c r="G26" s="214">
        <v>2949</v>
      </c>
      <c r="H26" s="215">
        <v>3156</v>
      </c>
    </row>
    <row r="27" spans="3:18" ht="12.75">
      <c r="C27" s="121"/>
      <c r="D27" s="121"/>
      <c r="E27" s="121"/>
      <c r="F27" s="121"/>
      <c r="G27" s="28"/>
      <c r="O27" s="28"/>
      <c r="P27" s="28"/>
      <c r="Q27" s="28"/>
      <c r="R27" s="28"/>
    </row>
    <row r="28" spans="2:18" ht="12.75">
      <c r="B28" s="41"/>
      <c r="C28" s="121"/>
      <c r="D28" s="121"/>
      <c r="E28" s="121"/>
      <c r="F28" s="121"/>
      <c r="G28" s="28"/>
      <c r="O28" s="28"/>
      <c r="P28" s="28"/>
      <c r="Q28" s="28"/>
      <c r="R28" s="28"/>
    </row>
    <row r="29" spans="2:18" ht="12.75">
      <c r="B29" s="752" t="s">
        <v>209</v>
      </c>
      <c r="C29" s="758"/>
      <c r="D29" s="758"/>
      <c r="E29" s="758"/>
      <c r="F29" s="758"/>
      <c r="G29" s="758"/>
      <c r="H29" s="758"/>
      <c r="I29" s="709"/>
      <c r="O29" s="28"/>
      <c r="P29" s="28"/>
      <c r="Q29" s="28"/>
      <c r="R29" s="28"/>
    </row>
    <row r="30" spans="2:18" ht="12.75">
      <c r="B30" s="753"/>
      <c r="C30" s="378" t="str">
        <f aca="true" t="shared" si="1" ref="C30:H30">+C5</f>
        <v>2013 Restated</v>
      </c>
      <c r="D30" s="378">
        <f t="shared" si="1"/>
        <v>2014</v>
      </c>
      <c r="E30" s="378" t="str">
        <f t="shared" si="1"/>
        <v>2014 Restated</v>
      </c>
      <c r="F30" s="378">
        <f t="shared" si="1"/>
        <v>2015</v>
      </c>
      <c r="G30" s="378" t="str">
        <f t="shared" si="1"/>
        <v>2016 (1)</v>
      </c>
      <c r="H30" s="379">
        <f t="shared" si="1"/>
        <v>2017</v>
      </c>
      <c r="O30" s="28"/>
      <c r="P30" s="28"/>
      <c r="Q30" s="28"/>
      <c r="R30" s="28"/>
    </row>
    <row r="31" spans="2:18" ht="12.75">
      <c r="B31" s="357"/>
      <c r="C31" s="84"/>
      <c r="D31" s="84"/>
      <c r="E31" s="84"/>
      <c r="F31" s="84"/>
      <c r="G31" s="710"/>
      <c r="H31" s="362"/>
      <c r="O31" s="28"/>
      <c r="P31" s="28"/>
      <c r="Q31" s="28"/>
      <c r="R31" s="28"/>
    </row>
    <row r="32" spans="2:8" s="8" customFormat="1" ht="12.75">
      <c r="B32" s="351" t="s">
        <v>98</v>
      </c>
      <c r="C32" s="203">
        <f>+'Quarterly Data'!J81</f>
        <v>5998</v>
      </c>
      <c r="D32" s="203">
        <f>+'Quarterly Data'!R81</f>
        <v>5168</v>
      </c>
      <c r="E32" s="203">
        <f>+'Quarterly Data'!Z81</f>
        <v>5168</v>
      </c>
      <c r="F32" s="203">
        <f>+'Quarterly Data'!AH81</f>
        <v>5512</v>
      </c>
      <c r="G32" s="203">
        <f>+'Quarterly Data'!AP81</f>
        <v>6031</v>
      </c>
      <c r="H32" s="206">
        <f>+'Quarterly Data'!AX81</f>
        <v>5592</v>
      </c>
    </row>
    <row r="33" spans="2:18" ht="12.75">
      <c r="B33" s="352"/>
      <c r="C33" s="40"/>
      <c r="D33" s="40"/>
      <c r="E33" s="40"/>
      <c r="F33" s="40"/>
      <c r="G33" s="40"/>
      <c r="H33" s="206"/>
      <c r="O33" s="28"/>
      <c r="P33" s="28"/>
      <c r="Q33" s="28"/>
      <c r="R33" s="28"/>
    </row>
    <row r="34" spans="2:18" ht="12.75">
      <c r="B34" s="353" t="s">
        <v>367</v>
      </c>
      <c r="C34" s="265">
        <f>+'Quarterly Data'!J83</f>
        <v>415</v>
      </c>
      <c r="D34" s="265">
        <f>+'Quarterly Data'!R83</f>
        <v>255</v>
      </c>
      <c r="E34" s="265">
        <f>+'Quarterly Data'!Z83</f>
        <v>255</v>
      </c>
      <c r="F34" s="265">
        <f>+'Quarterly Data'!AH83</f>
        <v>1079</v>
      </c>
      <c r="G34" s="265">
        <f>+'Quarterly Data'!AP83</f>
        <v>505</v>
      </c>
      <c r="H34" s="210">
        <f>+'Quarterly Data'!AX83</f>
        <v>637</v>
      </c>
      <c r="O34" s="28"/>
      <c r="P34" s="28"/>
      <c r="Q34" s="28"/>
      <c r="R34" s="28"/>
    </row>
    <row r="35" spans="2:18" ht="12.75">
      <c r="B35" s="358" t="s">
        <v>511</v>
      </c>
      <c r="C35" s="40"/>
      <c r="D35" s="40"/>
      <c r="E35" s="40"/>
      <c r="F35" s="40"/>
      <c r="G35" s="40"/>
      <c r="H35" s="206"/>
      <c r="O35" s="28"/>
      <c r="P35" s="28"/>
      <c r="Q35" s="28"/>
      <c r="R35" s="28"/>
    </row>
    <row r="36" spans="2:18" ht="12.75">
      <c r="B36" s="162" t="s">
        <v>497</v>
      </c>
      <c r="C36" s="40">
        <f>+'Quarterly Data'!J85</f>
        <v>444</v>
      </c>
      <c r="D36" s="40">
        <f>+'Quarterly Data'!R85</f>
        <v>427</v>
      </c>
      <c r="E36" s="40">
        <f>+'Quarterly Data'!Z85</f>
        <v>427</v>
      </c>
      <c r="F36" s="40">
        <f>+'Quarterly Data'!AH85</f>
        <v>243</v>
      </c>
      <c r="G36" s="40">
        <f>+'Quarterly Data'!AP85</f>
        <v>182</v>
      </c>
      <c r="H36" s="206">
        <f>+'Quarterly Data'!AX85</f>
        <v>263</v>
      </c>
      <c r="O36" s="28"/>
      <c r="P36" s="28"/>
      <c r="Q36" s="28"/>
      <c r="R36" s="28"/>
    </row>
    <row r="37" spans="2:18" ht="12.75">
      <c r="B37" s="162" t="s">
        <v>360</v>
      </c>
      <c r="C37" s="40">
        <f>+'Quarterly Data'!J86</f>
        <v>-29</v>
      </c>
      <c r="D37" s="40">
        <f>+'Quarterly Data'!R86</f>
        <v>-172</v>
      </c>
      <c r="E37" s="40">
        <f>+'Quarterly Data'!Z86</f>
        <v>-172</v>
      </c>
      <c r="F37" s="40">
        <f>+'Quarterly Data'!AH86</f>
        <v>836</v>
      </c>
      <c r="G37" s="40">
        <f>+'Quarterly Data'!AP86</f>
        <v>323</v>
      </c>
      <c r="H37" s="206">
        <f>+'Quarterly Data'!AX86</f>
        <v>374</v>
      </c>
      <c r="O37" s="28"/>
      <c r="P37" s="28"/>
      <c r="Q37" s="28"/>
      <c r="R37" s="28"/>
    </row>
    <row r="38" spans="2:18" ht="12.75">
      <c r="B38" s="353" t="s">
        <v>496</v>
      </c>
      <c r="C38" s="202">
        <f>+'Quarterly Data'!J87</f>
        <v>425</v>
      </c>
      <c r="D38" s="202">
        <f>+'Quarterly Data'!R87</f>
        <v>293</v>
      </c>
      <c r="E38" s="202">
        <f>+'Quarterly Data'!Z87</f>
        <v>293</v>
      </c>
      <c r="F38" s="202">
        <f>+'Quarterly Data'!AH87</f>
        <v>995</v>
      </c>
      <c r="G38" s="202">
        <f>+'Quarterly Data'!AP87</f>
        <v>361</v>
      </c>
      <c r="H38" s="210">
        <f>+'Quarterly Data'!AX87</f>
        <v>613</v>
      </c>
      <c r="O38" s="28"/>
      <c r="P38" s="28"/>
      <c r="Q38" s="28"/>
      <c r="R38" s="28"/>
    </row>
    <row r="39" spans="2:18" ht="12.75">
      <c r="B39" s="352"/>
      <c r="C39" s="40"/>
      <c r="D39" s="40"/>
      <c r="E39" s="40"/>
      <c r="F39" s="40"/>
      <c r="G39" s="40"/>
      <c r="H39" s="210"/>
      <c r="O39" s="28"/>
      <c r="P39" s="28"/>
      <c r="Q39" s="28"/>
      <c r="R39" s="28"/>
    </row>
    <row r="40" spans="2:18" ht="12.75">
      <c r="B40" s="352"/>
      <c r="C40" s="40"/>
      <c r="D40" s="40"/>
      <c r="E40" s="40"/>
      <c r="F40" s="40"/>
      <c r="G40" s="40"/>
      <c r="H40" s="711"/>
      <c r="O40" s="28"/>
      <c r="P40" s="28"/>
      <c r="Q40" s="28"/>
      <c r="R40" s="28"/>
    </row>
    <row r="41" spans="2:18" ht="12.75">
      <c r="B41" s="136" t="s">
        <v>285</v>
      </c>
      <c r="C41" s="203">
        <f>+'Quarterly Data'!J89</f>
        <v>-31</v>
      </c>
      <c r="D41" s="203">
        <f>+'Quarterly Data'!R89</f>
        <v>244</v>
      </c>
      <c r="E41" s="40">
        <f>+'Quarterly Data'!Z89</f>
        <v>244</v>
      </c>
      <c r="F41" s="203">
        <f>+'Quarterly Data'!AH89</f>
        <v>177</v>
      </c>
      <c r="G41" s="203">
        <f>+'Quarterly Data'!AP89</f>
        <v>-177</v>
      </c>
      <c r="H41" s="206">
        <f>+'Quarterly Data'!AX89</f>
        <v>-225</v>
      </c>
      <c r="O41" s="28"/>
      <c r="P41" s="28"/>
      <c r="Q41" s="28"/>
      <c r="R41" s="28"/>
    </row>
    <row r="42" spans="2:8" s="8" customFormat="1" ht="12.75">
      <c r="B42" s="172" t="s">
        <v>376</v>
      </c>
      <c r="C42" s="203">
        <f>+'Quarterly Data'!J90</f>
        <v>-282</v>
      </c>
      <c r="D42" s="203">
        <f>+'Quarterly Data'!R90</f>
        <v>-281</v>
      </c>
      <c r="E42" s="40">
        <f>+'Quarterly Data'!Z90</f>
        <v>-281</v>
      </c>
      <c r="F42" s="203">
        <f>+'Quarterly Data'!AH90</f>
        <v>-401</v>
      </c>
      <c r="G42" s="203">
        <f>+'Quarterly Data'!AP90</f>
        <v>-259</v>
      </c>
      <c r="H42" s="206">
        <f>+'Quarterly Data'!AX90</f>
        <v>-252</v>
      </c>
    </row>
    <row r="43" spans="2:8" s="8" customFormat="1" ht="12.75">
      <c r="B43" s="136" t="s">
        <v>377</v>
      </c>
      <c r="C43" s="203">
        <f>+'Quarterly Data'!J91</f>
        <v>-54</v>
      </c>
      <c r="D43" s="203">
        <f>+'Quarterly Data'!R91</f>
        <v>-72</v>
      </c>
      <c r="E43" s="40">
        <f>+'Quarterly Data'!Z91</f>
        <v>-72</v>
      </c>
      <c r="F43" s="203">
        <f>+'Quarterly Data'!AH91</f>
        <v>-465</v>
      </c>
      <c r="G43" s="203">
        <f>+'Quarterly Data'!AP91</f>
        <v>-254</v>
      </c>
      <c r="H43" s="206">
        <f>+'Quarterly Data'!AX91</f>
        <v>-120</v>
      </c>
    </row>
    <row r="44" spans="2:18" ht="12.75">
      <c r="B44" s="359"/>
      <c r="C44" s="40"/>
      <c r="D44" s="40"/>
      <c r="E44" s="40"/>
      <c r="F44" s="40"/>
      <c r="G44" s="40"/>
      <c r="H44" s="711"/>
      <c r="O44" s="28"/>
      <c r="P44" s="28"/>
      <c r="Q44" s="28"/>
      <c r="R44" s="28"/>
    </row>
    <row r="45" spans="2:18" ht="12.75">
      <c r="B45" s="353" t="s">
        <v>361</v>
      </c>
      <c r="C45" s="202">
        <f>+'Quarterly Data'!J93</f>
        <v>58</v>
      </c>
      <c r="D45" s="202">
        <f>+'Quarterly Data'!R93</f>
        <v>184</v>
      </c>
      <c r="E45" s="202">
        <f>+'Quarterly Data'!Z93</f>
        <v>184</v>
      </c>
      <c r="F45" s="202">
        <f>+'Quarterly Data'!AH93</f>
        <v>306</v>
      </c>
      <c r="G45" s="202">
        <f>+'Quarterly Data'!AP93</f>
        <v>-329</v>
      </c>
      <c r="H45" s="210">
        <f>+'Quarterly Data'!AX93</f>
        <v>16</v>
      </c>
      <c r="O45" s="28"/>
      <c r="P45" s="28"/>
      <c r="Q45" s="28"/>
      <c r="R45" s="28"/>
    </row>
    <row r="46" spans="2:18" ht="12.75">
      <c r="B46" s="352"/>
      <c r="C46" s="40"/>
      <c r="D46" s="40"/>
      <c r="E46" s="40"/>
      <c r="F46" s="40"/>
      <c r="G46" s="40"/>
      <c r="H46" s="711"/>
      <c r="O46" s="28"/>
      <c r="P46" s="28"/>
      <c r="Q46" s="28"/>
      <c r="R46" s="28"/>
    </row>
    <row r="47" spans="2:18" ht="12.75">
      <c r="B47" s="352"/>
      <c r="C47" s="40"/>
      <c r="D47" s="40"/>
      <c r="E47" s="40"/>
      <c r="F47" s="40"/>
      <c r="G47" s="40"/>
      <c r="H47" s="711"/>
      <c r="O47" s="28"/>
      <c r="P47" s="28"/>
      <c r="Q47" s="28"/>
      <c r="R47" s="28"/>
    </row>
    <row r="48" spans="2:18" ht="12.75">
      <c r="B48" s="354" t="s">
        <v>94</v>
      </c>
      <c r="C48" s="169">
        <v>5782</v>
      </c>
      <c r="D48" s="169">
        <v>6347</v>
      </c>
      <c r="E48" s="169">
        <v>6347</v>
      </c>
      <c r="F48" s="169">
        <v>6861</v>
      </c>
      <c r="G48" s="169">
        <v>5242</v>
      </c>
      <c r="H48" s="168">
        <v>4630</v>
      </c>
      <c r="O48" s="28"/>
      <c r="P48" s="28"/>
      <c r="Q48" s="28"/>
      <c r="R48" s="28"/>
    </row>
    <row r="49" spans="2:18" ht="12.75">
      <c r="B49" s="354"/>
      <c r="C49" s="39"/>
      <c r="D49" s="39"/>
      <c r="E49" s="39"/>
      <c r="F49" s="39"/>
      <c r="G49" s="39"/>
      <c r="H49" s="711"/>
      <c r="O49" s="28"/>
      <c r="P49" s="28"/>
      <c r="Q49" s="28"/>
      <c r="R49" s="28"/>
    </row>
    <row r="50" spans="2:18" ht="12.75">
      <c r="B50" s="352" t="s">
        <v>95</v>
      </c>
      <c r="C50" s="73">
        <v>124</v>
      </c>
      <c r="D50" s="73">
        <v>254</v>
      </c>
      <c r="E50" s="73">
        <v>254</v>
      </c>
      <c r="F50" s="73">
        <v>287</v>
      </c>
      <c r="G50" s="73">
        <v>204</v>
      </c>
      <c r="H50" s="81">
        <v>210</v>
      </c>
      <c r="O50" s="28"/>
      <c r="P50" s="28"/>
      <c r="Q50" s="28"/>
      <c r="R50" s="28"/>
    </row>
    <row r="51" spans="2:18" ht="12.75">
      <c r="B51" s="360" t="s">
        <v>498</v>
      </c>
      <c r="C51" s="73">
        <v>92</v>
      </c>
      <c r="D51" s="73">
        <v>67</v>
      </c>
      <c r="E51" s="73">
        <v>67</v>
      </c>
      <c r="F51" s="73">
        <v>139</v>
      </c>
      <c r="G51" s="73">
        <v>68</v>
      </c>
      <c r="H51" s="81">
        <v>80</v>
      </c>
      <c r="O51" s="28"/>
      <c r="P51" s="28"/>
      <c r="Q51" s="28"/>
      <c r="R51" s="28"/>
    </row>
    <row r="52" spans="2:18" ht="12.75">
      <c r="B52" s="355" t="s">
        <v>96</v>
      </c>
      <c r="C52" s="73">
        <v>11</v>
      </c>
      <c r="D52" s="73">
        <v>16</v>
      </c>
      <c r="E52" s="73">
        <v>16</v>
      </c>
      <c r="F52" s="73">
        <v>53</v>
      </c>
      <c r="G52" s="73">
        <v>20</v>
      </c>
      <c r="H52" s="81">
        <v>20</v>
      </c>
      <c r="O52" s="28"/>
      <c r="P52" s="28"/>
      <c r="Q52" s="28"/>
      <c r="R52" s="28"/>
    </row>
    <row r="53" spans="2:18" ht="12.75">
      <c r="B53" s="354" t="s">
        <v>97</v>
      </c>
      <c r="C53" s="39">
        <f aca="true" t="shared" si="2" ref="C53:H53">+C50+C51+C52</f>
        <v>227</v>
      </c>
      <c r="D53" s="39">
        <f t="shared" si="2"/>
        <v>337</v>
      </c>
      <c r="E53" s="39">
        <f t="shared" si="2"/>
        <v>337</v>
      </c>
      <c r="F53" s="39">
        <f t="shared" si="2"/>
        <v>479</v>
      </c>
      <c r="G53" s="39">
        <f t="shared" si="2"/>
        <v>292</v>
      </c>
      <c r="H53" s="86">
        <f t="shared" si="2"/>
        <v>310</v>
      </c>
      <c r="O53" s="28"/>
      <c r="P53" s="28"/>
      <c r="Q53" s="28"/>
      <c r="R53" s="28"/>
    </row>
    <row r="54" spans="2:18" ht="12.75">
      <c r="B54" s="354"/>
      <c r="C54" s="39"/>
      <c r="D54" s="39"/>
      <c r="E54" s="39"/>
      <c r="F54" s="39"/>
      <c r="G54" s="39"/>
      <c r="H54" s="711"/>
      <c r="O54" s="28"/>
      <c r="P54" s="28"/>
      <c r="Q54" s="28"/>
      <c r="R54" s="28"/>
    </row>
    <row r="55" spans="2:18" ht="12.75">
      <c r="B55" s="356" t="s">
        <v>77</v>
      </c>
      <c r="C55" s="214">
        <v>1415</v>
      </c>
      <c r="D55" s="214">
        <v>1419</v>
      </c>
      <c r="E55" s="214">
        <v>1419</v>
      </c>
      <c r="F55" s="214">
        <v>1414</v>
      </c>
      <c r="G55" s="214">
        <v>1379</v>
      </c>
      <c r="H55" s="215">
        <v>1359</v>
      </c>
      <c r="O55" s="28"/>
      <c r="P55" s="28"/>
      <c r="Q55" s="28"/>
      <c r="R55" s="28"/>
    </row>
    <row r="57" spans="2:10" ht="12.75">
      <c r="B57" s="289" t="s">
        <v>366</v>
      </c>
      <c r="C57" s="289"/>
      <c r="D57" s="289"/>
      <c r="E57" s="289"/>
      <c r="F57" s="289"/>
      <c r="G57" s="289"/>
      <c r="H57" s="289"/>
      <c r="I57" s="289"/>
      <c r="J57" s="289"/>
    </row>
    <row r="58" spans="2:10" ht="12.75">
      <c r="B58" s="288" t="s">
        <v>368</v>
      </c>
      <c r="C58" s="288"/>
      <c r="D58" s="288"/>
      <c r="E58" s="288"/>
      <c r="F58" s="288"/>
      <c r="G58" s="288"/>
      <c r="H58" s="288"/>
      <c r="I58" s="288"/>
      <c r="J58" s="288"/>
    </row>
    <row r="78" ht="12.75">
      <c r="B78" s="37"/>
    </row>
  </sheetData>
  <sheetProtection/>
  <mergeCells count="4">
    <mergeCell ref="B4:B5"/>
    <mergeCell ref="B29:B30"/>
    <mergeCell ref="C4:H4"/>
    <mergeCell ref="C29:H29"/>
  </mergeCells>
  <printOptions horizontalCentered="1" verticalCentered="1"/>
  <pageMargins left="0.3937007874015748" right="0.4724409448818898" top="0.6299212598425197" bottom="4.7637795275590555" header="0.5118110236220472" footer="0.5118110236220472"/>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2:R67"/>
  <sheetViews>
    <sheetView zoomScale="85" zoomScaleNormal="85" zoomScalePageLayoutView="0" workbookViewId="0" topLeftCell="A1">
      <selection activeCell="O44" sqref="O44"/>
    </sheetView>
  </sheetViews>
  <sheetFormatPr defaultColWidth="9.140625" defaultRowHeight="12.75" outlineLevelRow="1" outlineLevelCol="1"/>
  <cols>
    <col min="1" max="1" width="6.421875" style="1" customWidth="1"/>
    <col min="2" max="2" width="49.421875" style="12" customWidth="1"/>
    <col min="3" max="3" width="14.8515625" style="12" customWidth="1"/>
    <col min="4" max="4" width="12.8515625" style="12" hidden="1" customWidth="1" outlineLevel="1"/>
    <col min="5" max="5" width="14.421875" style="12" customWidth="1" collapsed="1"/>
    <col min="6" max="6" width="12.8515625" style="12" customWidth="1"/>
    <col min="7" max="7" width="11.140625" style="3" customWidth="1"/>
    <col min="8" max="10" width="11.28125" style="12" customWidth="1"/>
    <col min="11" max="11" width="11.421875" style="12" customWidth="1"/>
    <col min="12" max="14" width="11.28125" style="12" customWidth="1"/>
    <col min="15" max="18" width="11.28125" style="18" customWidth="1"/>
    <col min="19" max="16384" width="9.140625" style="12" customWidth="1"/>
  </cols>
  <sheetData>
    <row r="2" ht="15.75">
      <c r="B2" s="15" t="s">
        <v>210</v>
      </c>
    </row>
    <row r="3" spans="7:18" s="8" customFormat="1" ht="12.75">
      <c r="G3" s="9"/>
      <c r="O3" s="78"/>
      <c r="P3" s="78"/>
      <c r="Q3" s="78"/>
      <c r="R3" s="78"/>
    </row>
    <row r="4" spans="1:8" s="8" customFormat="1" ht="12.75">
      <c r="A4" s="5"/>
      <c r="B4" s="752" t="s">
        <v>211</v>
      </c>
      <c r="C4" s="758"/>
      <c r="D4" s="758"/>
      <c r="E4" s="758"/>
      <c r="F4" s="758"/>
      <c r="G4" s="758"/>
      <c r="H4" s="759"/>
    </row>
    <row r="5" spans="1:8" s="8" customFormat="1" ht="12.75">
      <c r="A5" s="5"/>
      <c r="B5" s="753"/>
      <c r="C5" s="378" t="s">
        <v>369</v>
      </c>
      <c r="D5" s="378">
        <v>2014</v>
      </c>
      <c r="E5" s="378" t="s">
        <v>370</v>
      </c>
      <c r="F5" s="378">
        <v>2015</v>
      </c>
      <c r="G5" s="378">
        <v>2016</v>
      </c>
      <c r="H5" s="379">
        <v>2017</v>
      </c>
    </row>
    <row r="6" spans="1:8" s="9" customFormat="1" ht="12.75">
      <c r="A6" s="7"/>
      <c r="B6" s="336"/>
      <c r="C6" s="107"/>
      <c r="D6" s="182"/>
      <c r="E6" s="182"/>
      <c r="F6" s="182"/>
      <c r="G6" s="182"/>
      <c r="H6" s="293"/>
    </row>
    <row r="7" spans="2:8" s="42" customFormat="1" ht="12.75">
      <c r="B7" s="337" t="s">
        <v>102</v>
      </c>
      <c r="C7" s="38"/>
      <c r="D7" s="38"/>
      <c r="E7" s="38"/>
      <c r="F7" s="38"/>
      <c r="G7" s="38"/>
      <c r="H7" s="112"/>
    </row>
    <row r="8" spans="1:8" s="43" customFormat="1" ht="12.75">
      <c r="A8" s="13"/>
      <c r="B8" s="338"/>
      <c r="C8" s="108"/>
      <c r="D8" s="108"/>
      <c r="E8" s="108"/>
      <c r="F8" s="108"/>
      <c r="G8" s="108"/>
      <c r="H8" s="702"/>
    </row>
    <row r="9" spans="2:18" ht="12.75">
      <c r="B9" s="334" t="s">
        <v>392</v>
      </c>
      <c r="C9" s="216">
        <f>+'Quarterly Data'!J103</f>
        <v>13503</v>
      </c>
      <c r="D9" s="216">
        <f>+'Quarterly Data'!R103</f>
        <v>11756</v>
      </c>
      <c r="E9" s="216">
        <f>+'Quarterly Data'!Z103</f>
        <v>11756</v>
      </c>
      <c r="F9" s="216">
        <f>+'Quarterly Data'!AH103</f>
        <v>14116</v>
      </c>
      <c r="G9" s="216">
        <f>+'Quarterly Data'!AP103</f>
        <v>16765</v>
      </c>
      <c r="H9" s="742">
        <v>16469</v>
      </c>
      <c r="O9" s="12"/>
      <c r="P9" s="12"/>
      <c r="Q9" s="12"/>
      <c r="R9" s="12"/>
    </row>
    <row r="10" spans="2:18" ht="12.75">
      <c r="B10" s="334" t="s">
        <v>393</v>
      </c>
      <c r="C10" s="216">
        <f>+'Quarterly Data'!J104</f>
        <v>4029</v>
      </c>
      <c r="D10" s="216">
        <f>+'Quarterly Data'!R104</f>
        <v>4954</v>
      </c>
      <c r="E10" s="216">
        <f>+'Quarterly Data'!Z104</f>
        <v>4954</v>
      </c>
      <c r="F10" s="216">
        <f>+'Quarterly Data'!AH104</f>
        <v>3378</v>
      </c>
      <c r="G10" s="216">
        <f>+'Quarterly Data'!AP104</f>
        <v>2490</v>
      </c>
      <c r="H10" s="742">
        <v>2209</v>
      </c>
      <c r="O10" s="12"/>
      <c r="P10" s="12"/>
      <c r="Q10" s="12"/>
      <c r="R10" s="12"/>
    </row>
    <row r="11" spans="2:18" ht="12.75">
      <c r="B11" s="334" t="s">
        <v>394</v>
      </c>
      <c r="C11" s="216">
        <f>+'Quarterly Data'!J105</f>
        <v>876</v>
      </c>
      <c r="D11" s="216">
        <f>+'Quarterly Data'!R105</f>
        <v>906</v>
      </c>
      <c r="E11" s="216">
        <f>+'Quarterly Data'!Z105</f>
        <v>906</v>
      </c>
      <c r="F11" s="216">
        <f>+'Quarterly Data'!AH105</f>
        <v>987</v>
      </c>
      <c r="G11" s="216">
        <f>+'Quarterly Data'!AP105</f>
        <v>1103</v>
      </c>
      <c r="H11" s="742">
        <v>1064</v>
      </c>
      <c r="I11" s="16"/>
      <c r="J11" s="16"/>
      <c r="K11" s="16"/>
      <c r="L11" s="16"/>
      <c r="O11" s="12"/>
      <c r="P11" s="12"/>
      <c r="Q11" s="12"/>
      <c r="R11" s="12"/>
    </row>
    <row r="12" spans="1:12" s="16" customFormat="1" ht="12.75">
      <c r="A12" s="2"/>
      <c r="B12" s="314" t="s">
        <v>104</v>
      </c>
      <c r="C12" s="262">
        <f aca="true" t="shared" si="0" ref="C12:H12">+SUM(C9:C11)</f>
        <v>18408</v>
      </c>
      <c r="D12" s="262">
        <f t="shared" si="0"/>
        <v>17616</v>
      </c>
      <c r="E12" s="262">
        <f t="shared" si="0"/>
        <v>17616</v>
      </c>
      <c r="F12" s="262">
        <f t="shared" si="0"/>
        <v>18481</v>
      </c>
      <c r="G12" s="262">
        <f t="shared" si="0"/>
        <v>20358</v>
      </c>
      <c r="H12" s="263">
        <f t="shared" si="0"/>
        <v>19742</v>
      </c>
      <c r="I12" s="12"/>
      <c r="J12" s="12"/>
      <c r="K12" s="12"/>
      <c r="L12" s="12"/>
    </row>
    <row r="13" spans="2:18" ht="14.25">
      <c r="B13" s="172" t="s">
        <v>396</v>
      </c>
      <c r="C13" s="216">
        <f>+'Quarterly Data'!J106</f>
        <v>55407</v>
      </c>
      <c r="D13" s="216">
        <f>+'Quarterly Data'!R106</f>
        <v>78564</v>
      </c>
      <c r="E13" s="216">
        <f>+'Quarterly Data'!Z106</f>
        <v>77915</v>
      </c>
      <c r="F13" s="216">
        <f>+'Quarterly Data'!AH106</f>
        <v>70952</v>
      </c>
      <c r="G13" s="216">
        <f>+'Quarterly Data'!AP106</f>
        <v>70836</v>
      </c>
      <c r="H13" s="742">
        <v>54002</v>
      </c>
      <c r="O13" s="12"/>
      <c r="P13" s="12"/>
      <c r="Q13" s="12"/>
      <c r="R13" s="12"/>
    </row>
    <row r="14" spans="2:18" ht="12.75">
      <c r="B14" s="339" t="s">
        <v>565</v>
      </c>
      <c r="C14" s="89">
        <f aca="true" t="shared" si="1" ref="C14:H14">+SUM(C12:C13)</f>
        <v>73815</v>
      </c>
      <c r="D14" s="89">
        <f t="shared" si="1"/>
        <v>96180</v>
      </c>
      <c r="E14" s="89">
        <f t="shared" si="1"/>
        <v>95531</v>
      </c>
      <c r="F14" s="89">
        <f t="shared" si="1"/>
        <v>89433</v>
      </c>
      <c r="G14" s="89">
        <f t="shared" si="1"/>
        <v>91194</v>
      </c>
      <c r="H14" s="90">
        <f t="shared" si="1"/>
        <v>73744</v>
      </c>
      <c r="I14" s="3"/>
      <c r="J14" s="21"/>
      <c r="K14" s="21"/>
      <c r="L14" s="21"/>
      <c r="M14" s="14"/>
      <c r="N14" s="14"/>
      <c r="O14" s="14"/>
      <c r="P14" s="14"/>
      <c r="Q14" s="12"/>
      <c r="R14" s="12"/>
    </row>
    <row r="15" spans="1:16" s="3" customFormat="1" ht="12.75">
      <c r="A15" s="4"/>
      <c r="B15" s="172"/>
      <c r="C15" s="167"/>
      <c r="D15" s="167"/>
      <c r="E15" s="167"/>
      <c r="F15" s="167"/>
      <c r="G15" s="167"/>
      <c r="H15" s="105"/>
      <c r="J15" s="21"/>
      <c r="K15" s="21"/>
      <c r="L15" s="21"/>
      <c r="M15" s="21"/>
      <c r="N15" s="21"/>
      <c r="O15" s="21"/>
      <c r="P15" s="21"/>
    </row>
    <row r="16" spans="2:16" s="3" customFormat="1" ht="12.75">
      <c r="B16" s="172"/>
      <c r="C16" s="167"/>
      <c r="D16" s="167"/>
      <c r="E16" s="167"/>
      <c r="F16" s="167"/>
      <c r="G16" s="167"/>
      <c r="H16" s="105"/>
      <c r="J16" s="21"/>
      <c r="K16" s="21"/>
      <c r="L16" s="21"/>
      <c r="M16" s="21"/>
      <c r="N16" s="21"/>
      <c r="O16" s="21"/>
      <c r="P16" s="21"/>
    </row>
    <row r="17" spans="2:16" s="3" customFormat="1" ht="12.75">
      <c r="B17" s="340" t="s">
        <v>103</v>
      </c>
      <c r="C17" s="116"/>
      <c r="D17" s="116"/>
      <c r="E17" s="116"/>
      <c r="F17" s="116"/>
      <c r="G17" s="116"/>
      <c r="H17" s="704"/>
      <c r="I17" s="14"/>
      <c r="J17" s="14"/>
      <c r="K17" s="14"/>
      <c r="L17" s="14"/>
      <c r="M17" s="14"/>
      <c r="N17" s="14"/>
      <c r="O17" s="14"/>
      <c r="P17" s="14"/>
    </row>
    <row r="18" spans="2:9" s="14" customFormat="1" ht="12" customHeight="1">
      <c r="B18" s="316"/>
      <c r="C18" s="117"/>
      <c r="D18" s="117"/>
      <c r="E18" s="117"/>
      <c r="F18" s="117"/>
      <c r="G18" s="117"/>
      <c r="H18" s="705"/>
      <c r="I18" s="21"/>
    </row>
    <row r="19" spans="2:8" s="21" customFormat="1" ht="12" customHeight="1">
      <c r="B19" s="341" t="s">
        <v>501</v>
      </c>
      <c r="C19" s="118">
        <f>+'Quarterly Data'!J110</f>
        <v>19149</v>
      </c>
      <c r="D19" s="118">
        <f>+'Quarterly Data'!R110</f>
        <v>20409</v>
      </c>
      <c r="E19" s="118">
        <f>+'Quarterly Data'!Z110</f>
        <v>20409</v>
      </c>
      <c r="F19" s="118">
        <f>+'Quarterly Data'!AH110</f>
        <v>17108</v>
      </c>
      <c r="G19" s="118">
        <f>+'Quarterly Data'!AP110</f>
        <v>11582</v>
      </c>
      <c r="H19" s="743">
        <v>10927</v>
      </c>
    </row>
    <row r="20" spans="2:16" s="21" customFormat="1" ht="12" customHeight="1">
      <c r="B20" s="316" t="s">
        <v>502</v>
      </c>
      <c r="C20" s="118">
        <f>+'Quarterly Data'!J111</f>
        <v>54666</v>
      </c>
      <c r="D20" s="118">
        <f>+'Quarterly Data'!R111</f>
        <v>75771</v>
      </c>
      <c r="E20" s="118">
        <f>+'Quarterly Data'!Z111</f>
        <v>75122</v>
      </c>
      <c r="F20" s="118">
        <f>+'Quarterly Data'!AH111</f>
        <v>72325</v>
      </c>
      <c r="G20" s="118">
        <f>+'Quarterly Data'!AP111</f>
        <v>79612</v>
      </c>
      <c r="H20" s="743">
        <v>62817</v>
      </c>
      <c r="J20" s="12"/>
      <c r="K20" s="12"/>
      <c r="L20" s="12"/>
      <c r="M20" s="12"/>
      <c r="N20" s="12"/>
      <c r="O20" s="12"/>
      <c r="P20" s="12"/>
    </row>
    <row r="21" spans="2:16" s="14" customFormat="1" ht="12" customHeight="1">
      <c r="B21" s="342" t="s">
        <v>566</v>
      </c>
      <c r="C21" s="113">
        <f aca="true" t="shared" si="2" ref="C21:H21">+C19+C20</f>
        <v>73815</v>
      </c>
      <c r="D21" s="113">
        <f t="shared" si="2"/>
        <v>96180</v>
      </c>
      <c r="E21" s="113">
        <f t="shared" si="2"/>
        <v>95531</v>
      </c>
      <c r="F21" s="113">
        <f t="shared" si="2"/>
        <v>89433</v>
      </c>
      <c r="G21" s="113">
        <f t="shared" si="2"/>
        <v>91194</v>
      </c>
      <c r="H21" s="114">
        <f t="shared" si="2"/>
        <v>73744</v>
      </c>
      <c r="J21" s="12"/>
      <c r="K21" s="12"/>
      <c r="L21" s="12"/>
      <c r="M21" s="12"/>
      <c r="N21" s="12"/>
      <c r="O21" s="12"/>
      <c r="P21" s="12"/>
    </row>
    <row r="22" spans="2:16" s="21" customFormat="1" ht="12" customHeight="1" hidden="1" outlineLevel="1">
      <c r="B22" s="110" t="s">
        <v>42</v>
      </c>
      <c r="C22" s="111">
        <f>+C14-C21</f>
        <v>0</v>
      </c>
      <c r="D22" s="111">
        <f>+D14-D21</f>
        <v>0</v>
      </c>
      <c r="E22" s="111">
        <f>+E21-E14</f>
        <v>0</v>
      </c>
      <c r="F22" s="111">
        <f>+F14-F21</f>
        <v>0</v>
      </c>
      <c r="G22" s="111">
        <f>+G14-G21</f>
        <v>0</v>
      </c>
      <c r="J22" s="12"/>
      <c r="K22" s="12"/>
      <c r="L22" s="12"/>
      <c r="M22" s="12"/>
      <c r="N22" s="12"/>
      <c r="O22" s="12"/>
      <c r="P22" s="12"/>
    </row>
    <row r="23" spans="2:16" s="14" customFormat="1" ht="12" customHeight="1" collapsed="1">
      <c r="B23" s="303" t="s">
        <v>527</v>
      </c>
      <c r="C23" s="92"/>
      <c r="D23" s="92"/>
      <c r="E23" s="92"/>
      <c r="F23" s="92"/>
      <c r="G23" s="92"/>
      <c r="J23" s="12"/>
      <c r="K23" s="12"/>
      <c r="L23" s="12"/>
      <c r="M23" s="12"/>
      <c r="N23" s="12"/>
      <c r="O23" s="12"/>
      <c r="P23" s="12"/>
    </row>
    <row r="24" spans="2:18" ht="12.75">
      <c r="B24" s="109" t="s">
        <v>499</v>
      </c>
      <c r="C24" s="18"/>
      <c r="D24" s="18"/>
      <c r="E24" s="18"/>
      <c r="F24" s="18"/>
      <c r="G24" s="12"/>
      <c r="J24" s="3"/>
      <c r="K24" s="3"/>
      <c r="L24" s="3"/>
      <c r="M24" s="3"/>
      <c r="N24" s="3"/>
      <c r="O24" s="3"/>
      <c r="P24" s="3"/>
      <c r="Q24" s="12"/>
      <c r="R24" s="12"/>
    </row>
    <row r="25" spans="2:18" ht="12.75">
      <c r="B25" s="18" t="s">
        <v>500</v>
      </c>
      <c r="C25" s="67"/>
      <c r="D25" s="67"/>
      <c r="E25" s="67"/>
      <c r="F25" s="67"/>
      <c r="G25" s="12"/>
      <c r="J25" s="3"/>
      <c r="K25" s="3"/>
      <c r="L25" s="3"/>
      <c r="M25" s="3"/>
      <c r="N25" s="3"/>
      <c r="O25" s="3"/>
      <c r="P25" s="3"/>
      <c r="Q25" s="12"/>
      <c r="R25" s="12"/>
    </row>
    <row r="26" spans="3:8" s="1" customFormat="1" ht="12.75">
      <c r="C26" s="706"/>
      <c r="D26" s="706"/>
      <c r="E26" s="706"/>
      <c r="F26" s="706"/>
      <c r="G26" s="706"/>
      <c r="H26" s="706"/>
    </row>
    <row r="27" spans="2:18" ht="12.75">
      <c r="B27" s="752" t="s">
        <v>212</v>
      </c>
      <c r="C27" s="760"/>
      <c r="D27" s="760"/>
      <c r="E27" s="760"/>
      <c r="F27" s="760"/>
      <c r="G27" s="760"/>
      <c r="H27" s="761"/>
      <c r="Q27" s="12"/>
      <c r="R27" s="12"/>
    </row>
    <row r="28" spans="2:18" ht="12.75">
      <c r="B28" s="753"/>
      <c r="C28" s="378" t="str">
        <f aca="true" t="shared" si="3" ref="C28:H28">+C5</f>
        <v>2013 Restated</v>
      </c>
      <c r="D28" s="378">
        <f t="shared" si="3"/>
        <v>2014</v>
      </c>
      <c r="E28" s="378" t="str">
        <f t="shared" si="3"/>
        <v>2014 Restated</v>
      </c>
      <c r="F28" s="378">
        <f t="shared" si="3"/>
        <v>2015</v>
      </c>
      <c r="G28" s="378">
        <f t="shared" si="3"/>
        <v>2016</v>
      </c>
      <c r="H28" s="378">
        <f t="shared" si="3"/>
        <v>2017</v>
      </c>
      <c r="I28" s="707"/>
      <c r="Q28" s="12"/>
      <c r="R28" s="12"/>
    </row>
    <row r="29" spans="1:8" s="3" customFormat="1" ht="12.75">
      <c r="A29" s="4"/>
      <c r="B29" s="336"/>
      <c r="C29" s="101"/>
      <c r="D29" s="183"/>
      <c r="E29" s="183"/>
      <c r="F29" s="183"/>
      <c r="G29" s="183"/>
      <c r="H29" s="105"/>
    </row>
    <row r="30" spans="1:8" s="3" customFormat="1" ht="12.75">
      <c r="A30" s="4"/>
      <c r="B30" s="343" t="s">
        <v>206</v>
      </c>
      <c r="C30" s="119"/>
      <c r="D30" s="119"/>
      <c r="E30" s="119"/>
      <c r="F30" s="119"/>
      <c r="G30" s="119"/>
      <c r="H30" s="105"/>
    </row>
    <row r="31" spans="2:18" ht="12.75">
      <c r="B31" s="331"/>
      <c r="C31" s="104"/>
      <c r="D31" s="104"/>
      <c r="E31" s="104"/>
      <c r="F31" s="104"/>
      <c r="G31" s="104"/>
      <c r="H31" s="703"/>
      <c r="O31" s="12"/>
      <c r="P31" s="12"/>
      <c r="Q31" s="12"/>
      <c r="R31" s="12"/>
    </row>
    <row r="32" spans="2:18" ht="14.25">
      <c r="B32" s="172" t="s">
        <v>398</v>
      </c>
      <c r="C32" s="115">
        <f>+'Quarterly Data'!J118</f>
        <v>410</v>
      </c>
      <c r="D32" s="115">
        <f>+'Quarterly Data'!R118</f>
        <v>417</v>
      </c>
      <c r="E32" s="115">
        <f>+'Quarterly Data'!Z118</f>
        <v>417</v>
      </c>
      <c r="F32" s="115">
        <f>+'Quarterly Data'!AH118</f>
        <v>485</v>
      </c>
      <c r="G32" s="115">
        <f>+'Quarterly Data'!AP118</f>
        <v>521</v>
      </c>
      <c r="H32" s="703">
        <v>437</v>
      </c>
      <c r="O32" s="12"/>
      <c r="P32" s="12"/>
      <c r="Q32" s="12"/>
      <c r="R32" s="12"/>
    </row>
    <row r="33" spans="2:18" ht="12.75">
      <c r="B33" s="172" t="s">
        <v>503</v>
      </c>
      <c r="C33" s="115">
        <f>+'Quarterly Data'!J119</f>
        <v>12512</v>
      </c>
      <c r="D33" s="115">
        <f>+'Quarterly Data'!R119</f>
        <v>9915</v>
      </c>
      <c r="E33" s="115">
        <f>+'Quarterly Data'!Z119</f>
        <v>9915</v>
      </c>
      <c r="F33" s="115">
        <f>+'Quarterly Data'!AH119</f>
        <v>12722</v>
      </c>
      <c r="G33" s="115">
        <f>+'Quarterly Data'!AP119</f>
        <v>14615</v>
      </c>
      <c r="H33" s="742">
        <v>15102</v>
      </c>
      <c r="O33" s="12"/>
      <c r="P33" s="12"/>
      <c r="Q33" s="12"/>
      <c r="R33" s="12"/>
    </row>
    <row r="34" spans="2:18" ht="12.75">
      <c r="B34" s="172" t="s">
        <v>400</v>
      </c>
      <c r="C34" s="115">
        <f>+'Quarterly Data'!J120</f>
        <v>3078</v>
      </c>
      <c r="D34" s="115">
        <f>+'Quarterly Data'!R120</f>
        <v>2739</v>
      </c>
      <c r="E34" s="115">
        <f>+'Quarterly Data'!Z120</f>
        <v>2739</v>
      </c>
      <c r="F34" s="115">
        <f>+'Quarterly Data'!AH120</f>
        <v>4172</v>
      </c>
      <c r="G34" s="115">
        <f>+'Quarterly Data'!AP120</f>
        <v>6745</v>
      </c>
      <c r="H34" s="742">
        <v>5843</v>
      </c>
      <c r="O34" s="12"/>
      <c r="P34" s="12"/>
      <c r="Q34" s="12"/>
      <c r="R34" s="12"/>
    </row>
    <row r="35" spans="2:18" ht="14.25">
      <c r="B35" s="172" t="s">
        <v>504</v>
      </c>
      <c r="C35" s="115">
        <f>+'Quarterly Data'!J121</f>
        <v>-341</v>
      </c>
      <c r="D35" s="115">
        <f>+'Quarterly Data'!R121</f>
        <v>172</v>
      </c>
      <c r="E35" s="115">
        <f>+'Quarterly Data'!Z121</f>
        <v>172</v>
      </c>
      <c r="F35" s="115">
        <f>+'Quarterly Data'!AH121</f>
        <v>197</v>
      </c>
      <c r="G35" s="115">
        <f>+'Quarterly Data'!AP121</f>
        <v>0</v>
      </c>
      <c r="H35" s="703">
        <v>-94</v>
      </c>
      <c r="O35" s="12"/>
      <c r="P35" s="12"/>
      <c r="Q35" s="12"/>
      <c r="R35" s="12"/>
    </row>
    <row r="36" spans="2:18" ht="12.75">
      <c r="B36" s="339" t="s">
        <v>565</v>
      </c>
      <c r="C36" s="95">
        <f aca="true" t="shared" si="4" ref="C36:H36">SUM(C32:C35)</f>
        <v>15659</v>
      </c>
      <c r="D36" s="95">
        <f t="shared" si="4"/>
        <v>13243</v>
      </c>
      <c r="E36" s="95">
        <f t="shared" si="4"/>
        <v>13243</v>
      </c>
      <c r="F36" s="95">
        <f t="shared" si="4"/>
        <v>17576</v>
      </c>
      <c r="G36" s="95">
        <f t="shared" si="4"/>
        <v>21881</v>
      </c>
      <c r="H36" s="97">
        <f t="shared" si="4"/>
        <v>21288</v>
      </c>
      <c r="O36" s="12"/>
      <c r="P36" s="12"/>
      <c r="Q36" s="12"/>
      <c r="R36" s="12"/>
    </row>
    <row r="37" spans="2:18" ht="12.75">
      <c r="B37" s="334"/>
      <c r="C37" s="57"/>
      <c r="D37" s="57"/>
      <c r="E37" s="57"/>
      <c r="F37" s="57"/>
      <c r="G37" s="57"/>
      <c r="H37" s="703"/>
      <c r="O37" s="12"/>
      <c r="P37" s="12"/>
      <c r="Q37" s="12"/>
      <c r="R37" s="12"/>
    </row>
    <row r="38" spans="2:18" ht="12.75">
      <c r="B38" s="345"/>
      <c r="C38" s="57"/>
      <c r="D38" s="57"/>
      <c r="E38" s="57"/>
      <c r="F38" s="57"/>
      <c r="G38" s="57"/>
      <c r="H38" s="703"/>
      <c r="O38" s="12"/>
      <c r="P38" s="12"/>
      <c r="Q38" s="12"/>
      <c r="R38" s="12"/>
    </row>
    <row r="39" spans="2:18" ht="12.75">
      <c r="B39" s="339" t="s">
        <v>397</v>
      </c>
      <c r="C39" s="99">
        <f>+'Quarterly Data'!J123</f>
        <v>1799</v>
      </c>
      <c r="D39" s="99">
        <f>+'Quarterly Data'!R123</f>
        <v>1734</v>
      </c>
      <c r="E39" s="99">
        <f>+'Quarterly Data'!Z123</f>
        <v>1734</v>
      </c>
      <c r="F39" s="99">
        <f>+'Quarterly Data'!AH123</f>
        <v>1508</v>
      </c>
      <c r="G39" s="99">
        <f>+'Quarterly Data'!AP123</f>
        <v>1403</v>
      </c>
      <c r="H39" s="100">
        <f>+'Quarterly Data'!AX123</f>
        <v>1636</v>
      </c>
      <c r="O39" s="12"/>
      <c r="P39" s="12"/>
      <c r="Q39" s="12"/>
      <c r="R39" s="12"/>
    </row>
    <row r="40" spans="2:18" ht="12.75">
      <c r="B40" s="137"/>
      <c r="C40" s="57"/>
      <c r="D40" s="57"/>
      <c r="E40" s="57"/>
      <c r="F40" s="57"/>
      <c r="G40" s="57"/>
      <c r="H40" s="703"/>
      <c r="O40" s="12"/>
      <c r="P40" s="12"/>
      <c r="Q40" s="12"/>
      <c r="R40" s="12"/>
    </row>
    <row r="41" spans="2:18" ht="12.75">
      <c r="B41" s="137"/>
      <c r="C41" s="57"/>
      <c r="D41" s="57"/>
      <c r="E41" s="57"/>
      <c r="F41" s="57"/>
      <c r="G41" s="57"/>
      <c r="H41" s="703"/>
      <c r="O41" s="12"/>
      <c r="P41" s="12"/>
      <c r="Q41" s="12"/>
      <c r="R41" s="12"/>
    </row>
    <row r="42" spans="2:18" ht="12.75">
      <c r="B42" s="343" t="s">
        <v>207</v>
      </c>
      <c r="C42" s="119"/>
      <c r="D42" s="119"/>
      <c r="E42" s="119"/>
      <c r="F42" s="119"/>
      <c r="G42" s="119"/>
      <c r="H42" s="703"/>
      <c r="O42" s="12"/>
      <c r="P42" s="12"/>
      <c r="Q42" s="12"/>
      <c r="R42" s="12"/>
    </row>
    <row r="43" spans="2:18" ht="12.75">
      <c r="B43" s="346"/>
      <c r="C43" s="119"/>
      <c r="D43" s="119"/>
      <c r="E43" s="119"/>
      <c r="F43" s="119"/>
      <c r="G43" s="119"/>
      <c r="H43" s="703"/>
      <c r="O43" s="12"/>
      <c r="P43" s="12"/>
      <c r="Q43" s="12"/>
      <c r="R43" s="12"/>
    </row>
    <row r="44" spans="2:18" ht="12.75">
      <c r="B44" s="347" t="s">
        <v>106</v>
      </c>
      <c r="C44" s="70">
        <f>+'Quarterly Data'!J126</f>
        <v>2737</v>
      </c>
      <c r="D44" s="70">
        <f>+'Quarterly Data'!R126</f>
        <v>2314</v>
      </c>
      <c r="E44" s="70">
        <f>+'Quarterly Data'!Z126</f>
        <v>2314</v>
      </c>
      <c r="F44" s="70">
        <f>+'Quarterly Data'!AH126</f>
        <v>2648</v>
      </c>
      <c r="G44" s="70">
        <f>+'Quarterly Data'!AP126</f>
        <v>2562</v>
      </c>
      <c r="H44" s="190">
        <v>2404</v>
      </c>
      <c r="O44" s="12"/>
      <c r="P44" s="12"/>
      <c r="Q44" s="12"/>
      <c r="R44" s="12"/>
    </row>
    <row r="45" spans="2:18" ht="12.75">
      <c r="B45" s="139" t="s">
        <v>107</v>
      </c>
      <c r="C45" s="70">
        <f>+'Quarterly Data'!J127</f>
        <v>2707</v>
      </c>
      <c r="D45" s="70">
        <f>+'Quarterly Data'!R127</f>
        <v>3413</v>
      </c>
      <c r="E45" s="70">
        <f>+'Quarterly Data'!Z127</f>
        <v>3413</v>
      </c>
      <c r="F45" s="70">
        <f>+'Quarterly Data'!AH127</f>
        <v>3385</v>
      </c>
      <c r="G45" s="70">
        <f>+'Quarterly Data'!AP127</f>
        <v>3970</v>
      </c>
      <c r="H45" s="190">
        <v>4507</v>
      </c>
      <c r="O45" s="12"/>
      <c r="P45" s="12"/>
      <c r="Q45" s="12"/>
      <c r="R45" s="12"/>
    </row>
    <row r="46" spans="2:18" ht="12.75">
      <c r="B46" s="139" t="s">
        <v>108</v>
      </c>
      <c r="C46" s="70">
        <f>+'Quarterly Data'!J128</f>
        <v>6578</v>
      </c>
      <c r="D46" s="70">
        <f>+'Quarterly Data'!R128</f>
        <v>4407</v>
      </c>
      <c r="E46" s="70">
        <f>+'Quarterly Data'!Z128</f>
        <v>4407</v>
      </c>
      <c r="F46" s="70">
        <f>+'Quarterly Data'!AH128</f>
        <v>5671</v>
      </c>
      <c r="G46" s="70">
        <f>+'Quarterly Data'!AP128</f>
        <v>7320</v>
      </c>
      <c r="H46" s="190">
        <v>7311</v>
      </c>
      <c r="O46" s="12"/>
      <c r="P46" s="12"/>
      <c r="Q46" s="12"/>
      <c r="R46" s="12"/>
    </row>
    <row r="47" spans="2:18" ht="12.75">
      <c r="B47" s="139" t="s">
        <v>109</v>
      </c>
      <c r="C47" s="70">
        <f>+'Quarterly Data'!J129</f>
        <v>3637</v>
      </c>
      <c r="D47" s="70">
        <f>+'Quarterly Data'!R129</f>
        <v>3109</v>
      </c>
      <c r="E47" s="70">
        <f>+'Quarterly Data'!Z129</f>
        <v>3109</v>
      </c>
      <c r="F47" s="70">
        <f>+'Quarterly Data'!AH129</f>
        <v>5872</v>
      </c>
      <c r="G47" s="70">
        <f>+'Quarterly Data'!AP129</f>
        <v>8029</v>
      </c>
      <c r="H47" s="190">
        <v>7066</v>
      </c>
      <c r="O47" s="12"/>
      <c r="P47" s="12"/>
      <c r="Q47" s="12"/>
      <c r="R47" s="12"/>
    </row>
    <row r="48" spans="2:18" ht="12.75">
      <c r="B48" s="339" t="s">
        <v>566</v>
      </c>
      <c r="C48" s="95">
        <f aca="true" t="shared" si="5" ref="C48:H48">+SUM(C44:C47)</f>
        <v>15659</v>
      </c>
      <c r="D48" s="95">
        <f t="shared" si="5"/>
        <v>13243</v>
      </c>
      <c r="E48" s="95">
        <f t="shared" si="5"/>
        <v>13243</v>
      </c>
      <c r="F48" s="95">
        <f t="shared" si="5"/>
        <v>17576</v>
      </c>
      <c r="G48" s="95">
        <f t="shared" si="5"/>
        <v>21881</v>
      </c>
      <c r="H48" s="97">
        <f t="shared" si="5"/>
        <v>21288</v>
      </c>
      <c r="O48" s="12"/>
      <c r="P48" s="12"/>
      <c r="Q48" s="12"/>
      <c r="R48" s="12"/>
    </row>
    <row r="49" spans="2:18" ht="12.75">
      <c r="B49" s="137"/>
      <c r="C49" s="96"/>
      <c r="D49" s="96"/>
      <c r="E49" s="96"/>
      <c r="F49" s="96"/>
      <c r="G49" s="96"/>
      <c r="H49" s="703"/>
      <c r="O49" s="12"/>
      <c r="P49" s="12"/>
      <c r="Q49" s="12"/>
      <c r="R49" s="12"/>
    </row>
    <row r="50" spans="2:18" ht="12.75">
      <c r="B50" s="339" t="s">
        <v>399</v>
      </c>
      <c r="C50" s="99">
        <f aca="true" t="shared" si="6" ref="C50:H50">+C39</f>
        <v>1799</v>
      </c>
      <c r="D50" s="99">
        <f t="shared" si="6"/>
        <v>1734</v>
      </c>
      <c r="E50" s="99">
        <f t="shared" si="6"/>
        <v>1734</v>
      </c>
      <c r="F50" s="99">
        <f t="shared" si="6"/>
        <v>1508</v>
      </c>
      <c r="G50" s="99">
        <f t="shared" si="6"/>
        <v>1403</v>
      </c>
      <c r="H50" s="100">
        <f t="shared" si="6"/>
        <v>1636</v>
      </c>
      <c r="O50" s="12"/>
      <c r="P50" s="12"/>
      <c r="Q50" s="12"/>
      <c r="R50" s="12"/>
    </row>
    <row r="51" spans="2:18" ht="12.75">
      <c r="B51" s="158"/>
      <c r="C51" s="102"/>
      <c r="D51" s="102"/>
      <c r="E51" s="102"/>
      <c r="F51" s="102"/>
      <c r="G51" s="102"/>
      <c r="H51" s="703"/>
      <c r="O51" s="12"/>
      <c r="P51" s="12"/>
      <c r="Q51" s="12"/>
      <c r="R51" s="12"/>
    </row>
    <row r="52" spans="2:18" ht="12.75" hidden="1" outlineLevel="1">
      <c r="B52" s="158" t="s">
        <v>42</v>
      </c>
      <c r="C52" s="102">
        <f>+C36-C48</f>
        <v>0</v>
      </c>
      <c r="D52" s="102">
        <f>+D36-D48</f>
        <v>0</v>
      </c>
      <c r="E52" s="102">
        <f>+E36-E48</f>
        <v>0</v>
      </c>
      <c r="F52" s="102">
        <f>+F36-F48</f>
        <v>0</v>
      </c>
      <c r="G52" s="102">
        <f>+G36-G48</f>
        <v>0</v>
      </c>
      <c r="H52" s="703"/>
      <c r="O52" s="12"/>
      <c r="P52" s="12"/>
      <c r="Q52" s="12"/>
      <c r="R52" s="12"/>
    </row>
    <row r="53" spans="2:18" ht="12.75" collapsed="1">
      <c r="B53" s="348"/>
      <c r="C53" s="58"/>
      <c r="D53" s="58"/>
      <c r="E53" s="58"/>
      <c r="F53" s="58"/>
      <c r="G53" s="58"/>
      <c r="H53" s="703"/>
      <c r="O53" s="12"/>
      <c r="P53" s="12"/>
      <c r="Q53" s="12"/>
      <c r="R53" s="12"/>
    </row>
    <row r="54" spans="2:18" ht="12.75">
      <c r="B54" s="343" t="s">
        <v>178</v>
      </c>
      <c r="C54" s="119"/>
      <c r="D54" s="119"/>
      <c r="E54" s="119"/>
      <c r="F54" s="119"/>
      <c r="G54" s="119"/>
      <c r="H54" s="703"/>
      <c r="O54" s="12"/>
      <c r="P54" s="12"/>
      <c r="Q54" s="12"/>
      <c r="R54" s="12"/>
    </row>
    <row r="55" spans="2:18" ht="12.75">
      <c r="B55" s="331"/>
      <c r="C55" s="57"/>
      <c r="D55" s="57"/>
      <c r="E55" s="57"/>
      <c r="F55" s="57"/>
      <c r="G55" s="57"/>
      <c r="H55" s="703"/>
      <c r="O55" s="12"/>
      <c r="P55" s="12"/>
      <c r="Q55" s="12"/>
      <c r="R55" s="12"/>
    </row>
    <row r="56" spans="2:18" ht="12.75">
      <c r="B56" s="331" t="s">
        <v>105</v>
      </c>
      <c r="C56" s="175">
        <v>1940</v>
      </c>
      <c r="D56" s="175">
        <v>2620</v>
      </c>
      <c r="E56" s="175">
        <v>2620</v>
      </c>
      <c r="F56" s="175">
        <v>2546</v>
      </c>
      <c r="G56" s="175">
        <v>2163</v>
      </c>
      <c r="H56" s="744">
        <v>1874</v>
      </c>
      <c r="O56" s="12"/>
      <c r="P56" s="12"/>
      <c r="Q56" s="12"/>
      <c r="R56" s="12"/>
    </row>
    <row r="57" spans="2:18" ht="12.75">
      <c r="B57" s="334" t="s">
        <v>397</v>
      </c>
      <c r="C57" s="175">
        <v>1640</v>
      </c>
      <c r="D57" s="175">
        <v>1541</v>
      </c>
      <c r="E57" s="175">
        <v>1541</v>
      </c>
      <c r="F57" s="175">
        <v>1808</v>
      </c>
      <c r="G57" s="175">
        <v>1980</v>
      </c>
      <c r="H57" s="744">
        <v>2127</v>
      </c>
      <c r="O57" s="12"/>
      <c r="P57" s="12"/>
      <c r="Q57" s="12"/>
      <c r="R57" s="12"/>
    </row>
    <row r="58" spans="2:18" ht="12.75">
      <c r="B58" s="348"/>
      <c r="C58" s="57"/>
      <c r="D58" s="57"/>
      <c r="E58" s="57"/>
      <c r="F58" s="57"/>
      <c r="G58" s="57"/>
      <c r="H58" s="703"/>
      <c r="O58" s="12"/>
      <c r="P58" s="12"/>
      <c r="Q58" s="12"/>
      <c r="R58" s="12"/>
    </row>
    <row r="59" spans="2:18" ht="12.75">
      <c r="B59" s="344" t="s">
        <v>177</v>
      </c>
      <c r="C59" s="95">
        <f aca="true" t="shared" si="7" ref="C59:H59">+C56+C57</f>
        <v>3580</v>
      </c>
      <c r="D59" s="95">
        <f t="shared" si="7"/>
        <v>4161</v>
      </c>
      <c r="E59" s="95">
        <f t="shared" si="7"/>
        <v>4161</v>
      </c>
      <c r="F59" s="95">
        <f t="shared" si="7"/>
        <v>4354</v>
      </c>
      <c r="G59" s="95">
        <f t="shared" si="7"/>
        <v>4143</v>
      </c>
      <c r="H59" s="97">
        <f t="shared" si="7"/>
        <v>4001</v>
      </c>
      <c r="O59" s="12"/>
      <c r="P59" s="12"/>
      <c r="Q59" s="12"/>
      <c r="R59" s="12"/>
    </row>
    <row r="60" spans="2:18" ht="12.75">
      <c r="B60" s="159"/>
      <c r="C60" s="57"/>
      <c r="D60" s="57"/>
      <c r="E60" s="57"/>
      <c r="F60" s="57"/>
      <c r="G60" s="57"/>
      <c r="H60" s="703"/>
      <c r="O60" s="12"/>
      <c r="P60" s="12"/>
      <c r="Q60" s="12"/>
      <c r="R60" s="12"/>
    </row>
    <row r="61" spans="1:8" s="3" customFormat="1" ht="11.25" customHeight="1">
      <c r="A61" s="4"/>
      <c r="B61" s="136"/>
      <c r="C61" s="119"/>
      <c r="D61" s="119"/>
      <c r="E61" s="119"/>
      <c r="F61" s="119"/>
      <c r="G61" s="119"/>
      <c r="H61" s="105"/>
    </row>
    <row r="62" spans="2:18" ht="12.75">
      <c r="B62" s="339" t="s">
        <v>405</v>
      </c>
      <c r="C62" s="304">
        <v>50.4</v>
      </c>
      <c r="D62" s="304">
        <v>46.2</v>
      </c>
      <c r="E62" s="304">
        <v>46.2</v>
      </c>
      <c r="F62" s="304">
        <v>42</v>
      </c>
      <c r="G62" s="304">
        <v>40.4</v>
      </c>
      <c r="H62" s="305">
        <v>36.5</v>
      </c>
      <c r="O62" s="12"/>
      <c r="P62" s="12"/>
      <c r="Q62" s="12"/>
      <c r="R62" s="12"/>
    </row>
    <row r="63" spans="2:18" ht="12.75">
      <c r="B63" s="342" t="s">
        <v>505</v>
      </c>
      <c r="C63" s="260">
        <v>309.3</v>
      </c>
      <c r="D63" s="260">
        <v>283.5</v>
      </c>
      <c r="E63" s="260">
        <v>283.5</v>
      </c>
      <c r="F63" s="260">
        <v>257.5</v>
      </c>
      <c r="G63" s="260">
        <v>248.4</v>
      </c>
      <c r="H63" s="261">
        <v>224</v>
      </c>
      <c r="O63" s="12"/>
      <c r="P63" s="12"/>
      <c r="Q63" s="12"/>
      <c r="R63" s="12"/>
    </row>
    <row r="64" ht="12.75">
      <c r="B64" s="287" t="s">
        <v>506</v>
      </c>
    </row>
    <row r="65" ht="12.75">
      <c r="B65" s="306" t="s">
        <v>507</v>
      </c>
    </row>
    <row r="66" ht="12.75">
      <c r="B66" s="16" t="s">
        <v>225</v>
      </c>
    </row>
    <row r="67" ht="12.75">
      <c r="B67" s="16" t="s">
        <v>226</v>
      </c>
    </row>
  </sheetData>
  <sheetProtection/>
  <mergeCells count="4">
    <mergeCell ref="B4:B5"/>
    <mergeCell ref="B27:B28"/>
    <mergeCell ref="C4:H4"/>
    <mergeCell ref="C27:H27"/>
  </mergeCells>
  <printOptions horizontalCentered="1" verticalCentered="1"/>
  <pageMargins left="0.5511811023622047" right="0.5511811023622047" top="0.6692913385826772" bottom="4.645669291338583"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2:N35"/>
  <sheetViews>
    <sheetView zoomScalePageLayoutView="0" workbookViewId="0" topLeftCell="A4">
      <selection activeCell="L30" sqref="L30"/>
    </sheetView>
  </sheetViews>
  <sheetFormatPr defaultColWidth="9.140625" defaultRowHeight="12.75" outlineLevelCol="1"/>
  <cols>
    <col min="1" max="1" width="6.421875" style="46" customWidth="1"/>
    <col min="2" max="2" width="50.7109375" style="46" bestFit="1" customWidth="1"/>
    <col min="3" max="3" width="13.7109375" style="46" customWidth="1"/>
    <col min="4" max="4" width="11.28125" style="46" hidden="1" customWidth="1" outlineLevel="1"/>
    <col min="5" max="5" width="13.57421875" style="46" customWidth="1" collapsed="1"/>
    <col min="6" max="8" width="11.28125" style="46" customWidth="1"/>
    <col min="9" max="16384" width="9.140625" style="46" customWidth="1"/>
  </cols>
  <sheetData>
    <row r="2" ht="15.75">
      <c r="B2" s="15" t="s">
        <v>213</v>
      </c>
    </row>
    <row r="4" spans="1:8" ht="12.75">
      <c r="A4" s="44"/>
      <c r="B4" s="762" t="s">
        <v>110</v>
      </c>
      <c r="C4" s="764"/>
      <c r="D4" s="758"/>
      <c r="E4" s="758"/>
      <c r="F4" s="758"/>
      <c r="G4" s="758"/>
      <c r="H4" s="759"/>
    </row>
    <row r="5" spans="1:8" s="44" customFormat="1" ht="12.75">
      <c r="A5" s="46"/>
      <c r="B5" s="763"/>
      <c r="C5" s="378" t="s">
        <v>369</v>
      </c>
      <c r="D5" s="378">
        <v>2014</v>
      </c>
      <c r="E5" s="378" t="s">
        <v>370</v>
      </c>
      <c r="F5" s="378">
        <v>2015</v>
      </c>
      <c r="G5" s="378">
        <v>2016</v>
      </c>
      <c r="H5" s="379">
        <v>2017</v>
      </c>
    </row>
    <row r="6" spans="2:8" s="44" customFormat="1" ht="12.75">
      <c r="B6" s="331"/>
      <c r="C6" s="171"/>
      <c r="D6" s="171"/>
      <c r="E6" s="171"/>
      <c r="F6" s="171"/>
      <c r="G6" s="699"/>
      <c r="H6" s="700"/>
    </row>
    <row r="7" spans="1:8" s="45" customFormat="1" ht="12.75">
      <c r="A7" s="44"/>
      <c r="B7" s="332" t="s">
        <v>389</v>
      </c>
      <c r="C7" s="217">
        <v>4931</v>
      </c>
      <c r="D7" s="217">
        <v>3742</v>
      </c>
      <c r="E7" s="217">
        <v>3742</v>
      </c>
      <c r="F7" s="217">
        <v>3733</v>
      </c>
      <c r="G7" s="217">
        <v>3327</v>
      </c>
      <c r="H7" s="746">
        <v>3767</v>
      </c>
    </row>
    <row r="8" spans="2:8" s="45" customFormat="1" ht="12.75">
      <c r="B8" s="332" t="s">
        <v>388</v>
      </c>
      <c r="C8" s="217">
        <f>26+2</f>
        <v>28</v>
      </c>
      <c r="D8" s="217">
        <f>8+3</f>
        <v>11</v>
      </c>
      <c r="E8" s="217">
        <v>8</v>
      </c>
      <c r="F8" s="217">
        <v>0</v>
      </c>
      <c r="G8" s="217">
        <v>0</v>
      </c>
      <c r="H8" s="745">
        <v>0</v>
      </c>
    </row>
    <row r="9" spans="2:8" ht="13.5" customHeight="1">
      <c r="B9" s="159" t="s">
        <v>99</v>
      </c>
      <c r="C9" s="218">
        <v>3497</v>
      </c>
      <c r="D9" s="218">
        <v>4165</v>
      </c>
      <c r="E9" s="218">
        <v>4165</v>
      </c>
      <c r="F9" s="218">
        <v>3471</v>
      </c>
      <c r="G9" s="218">
        <v>2968</v>
      </c>
      <c r="H9" s="746">
        <v>2509</v>
      </c>
    </row>
    <row r="10" spans="2:8" ht="12.75">
      <c r="B10" s="159" t="s">
        <v>100</v>
      </c>
      <c r="C10" s="218">
        <v>17</v>
      </c>
      <c r="D10" s="218">
        <v>19</v>
      </c>
      <c r="E10" s="218">
        <v>19</v>
      </c>
      <c r="F10" s="218">
        <v>1</v>
      </c>
      <c r="G10" s="218">
        <v>0</v>
      </c>
      <c r="H10" s="701">
        <v>0</v>
      </c>
    </row>
    <row r="11" spans="2:8" ht="12.75">
      <c r="B11" s="159" t="s">
        <v>146</v>
      </c>
      <c r="C11" s="218">
        <v>21</v>
      </c>
      <c r="D11" s="218">
        <v>21</v>
      </c>
      <c r="E11" s="218">
        <v>21</v>
      </c>
      <c r="F11" s="218">
        <v>23</v>
      </c>
      <c r="G11" s="218">
        <v>43</v>
      </c>
      <c r="H11" s="701">
        <v>40</v>
      </c>
    </row>
    <row r="12" spans="2:8" ht="13.5" customHeight="1">
      <c r="B12" s="159" t="s">
        <v>101</v>
      </c>
      <c r="C12" s="218">
        <v>63</v>
      </c>
      <c r="D12" s="218">
        <v>81</v>
      </c>
      <c r="E12" s="218">
        <v>84</v>
      </c>
      <c r="F12" s="218">
        <v>77</v>
      </c>
      <c r="G12" s="218">
        <v>98</v>
      </c>
      <c r="H12" s="701">
        <v>78</v>
      </c>
    </row>
    <row r="13" spans="2:8" ht="13.5" customHeight="1">
      <c r="B13" s="333" t="s">
        <v>387</v>
      </c>
      <c r="C13" s="284">
        <f aca="true" t="shared" si="0" ref="C13:H13">+SUM(C7:C12)</f>
        <v>8557</v>
      </c>
      <c r="D13" s="284">
        <f t="shared" si="0"/>
        <v>8039</v>
      </c>
      <c r="E13" s="284">
        <f t="shared" si="0"/>
        <v>8039</v>
      </c>
      <c r="F13" s="284">
        <f t="shared" si="0"/>
        <v>7305</v>
      </c>
      <c r="G13" s="284">
        <f t="shared" si="0"/>
        <v>6436</v>
      </c>
      <c r="H13" s="285">
        <f t="shared" si="0"/>
        <v>6394</v>
      </c>
    </row>
    <row r="14" spans="2:8" ht="12.75">
      <c r="B14" s="159" t="s">
        <v>171</v>
      </c>
      <c r="C14" s="218">
        <v>2102</v>
      </c>
      <c r="D14" s="218">
        <v>2293</v>
      </c>
      <c r="E14" s="218">
        <v>2293</v>
      </c>
      <c r="F14" s="218">
        <v>2071</v>
      </c>
      <c r="G14" s="218">
        <v>1722</v>
      </c>
      <c r="H14" s="746">
        <v>1618</v>
      </c>
    </row>
    <row r="15" spans="2:8" ht="12.75">
      <c r="B15" s="334" t="s">
        <v>384</v>
      </c>
      <c r="C15" s="218">
        <v>127</v>
      </c>
      <c r="D15" s="218">
        <v>136</v>
      </c>
      <c r="E15" s="218">
        <v>136</v>
      </c>
      <c r="F15" s="218">
        <v>161</v>
      </c>
      <c r="G15" s="218">
        <v>215</v>
      </c>
      <c r="H15" s="701">
        <v>230</v>
      </c>
    </row>
    <row r="16" spans="2:8" ht="12.75">
      <c r="B16" s="159" t="s">
        <v>223</v>
      </c>
      <c r="C16" s="218">
        <v>106</v>
      </c>
      <c r="D16" s="218">
        <v>107</v>
      </c>
      <c r="E16" s="218">
        <v>107</v>
      </c>
      <c r="F16" s="218">
        <v>117</v>
      </c>
      <c r="G16" s="218">
        <v>115</v>
      </c>
      <c r="H16" s="701">
        <v>115</v>
      </c>
    </row>
    <row r="17" spans="2:8" ht="12.75">
      <c r="B17" s="334" t="s">
        <v>385</v>
      </c>
      <c r="C17" s="218">
        <v>133</v>
      </c>
      <c r="D17" s="218">
        <v>147</v>
      </c>
      <c r="E17" s="218">
        <v>147</v>
      </c>
      <c r="F17" s="218">
        <v>119</v>
      </c>
      <c r="G17" s="218">
        <v>99</v>
      </c>
      <c r="H17" s="701">
        <v>101</v>
      </c>
    </row>
    <row r="18" spans="2:8" s="283" customFormat="1" ht="12.75">
      <c r="B18" s="172" t="s">
        <v>380</v>
      </c>
      <c r="C18" s="218">
        <v>121</v>
      </c>
      <c r="D18" s="218">
        <v>144</v>
      </c>
      <c r="E18" s="218">
        <v>144</v>
      </c>
      <c r="F18" s="218">
        <v>82</v>
      </c>
      <c r="G18" s="218">
        <v>44</v>
      </c>
      <c r="H18" s="249">
        <v>61</v>
      </c>
    </row>
    <row r="19" spans="2:8" ht="12.75">
      <c r="B19" s="334" t="s">
        <v>381</v>
      </c>
      <c r="C19" s="218">
        <v>121</v>
      </c>
      <c r="D19" s="218">
        <v>182</v>
      </c>
      <c r="E19" s="218">
        <v>182</v>
      </c>
      <c r="F19" s="218">
        <v>253</v>
      </c>
      <c r="G19" s="218">
        <v>1276</v>
      </c>
      <c r="H19" s="701">
        <v>103</v>
      </c>
    </row>
    <row r="20" spans="2:8" ht="12.75">
      <c r="B20" s="334" t="s">
        <v>390</v>
      </c>
      <c r="C20" s="218">
        <v>0</v>
      </c>
      <c r="D20" s="218">
        <v>0</v>
      </c>
      <c r="E20" s="218">
        <v>0</v>
      </c>
      <c r="F20" s="218">
        <v>0</v>
      </c>
      <c r="G20" s="218">
        <v>0</v>
      </c>
      <c r="H20" s="701">
        <v>0</v>
      </c>
    </row>
    <row r="21" spans="2:8" ht="12.75">
      <c r="B21" s="172" t="s">
        <v>386</v>
      </c>
      <c r="C21" s="222">
        <v>29</v>
      </c>
      <c r="D21" s="222">
        <v>23</v>
      </c>
      <c r="E21" s="222">
        <v>23</v>
      </c>
      <c r="F21" s="222">
        <v>62</v>
      </c>
      <c r="G21" s="222">
        <v>57</v>
      </c>
      <c r="H21" s="701">
        <v>45</v>
      </c>
    </row>
    <row r="22" spans="2:8" ht="12.75">
      <c r="B22" s="172" t="s">
        <v>382</v>
      </c>
      <c r="C22" s="218">
        <v>-48</v>
      </c>
      <c r="D22" s="218">
        <v>91</v>
      </c>
      <c r="E22" s="218">
        <v>91</v>
      </c>
      <c r="F22" s="218">
        <v>138</v>
      </c>
      <c r="G22" s="218">
        <v>22</v>
      </c>
      <c r="H22" s="701">
        <v>0</v>
      </c>
    </row>
    <row r="23" spans="2:8" ht="12.75">
      <c r="B23" s="172" t="s">
        <v>383</v>
      </c>
      <c r="C23" s="218">
        <v>112</v>
      </c>
      <c r="D23" s="218">
        <v>121</v>
      </c>
      <c r="E23" s="218">
        <v>121</v>
      </c>
      <c r="F23" s="218">
        <v>107</v>
      </c>
      <c r="G23" s="218">
        <v>94</v>
      </c>
      <c r="H23" s="701">
        <v>99</v>
      </c>
    </row>
    <row r="24" spans="2:8" ht="12.75">
      <c r="B24" s="172" t="s">
        <v>391</v>
      </c>
      <c r="C24" s="218">
        <v>4</v>
      </c>
      <c r="D24" s="218">
        <v>1</v>
      </c>
      <c r="E24" s="218">
        <v>0</v>
      </c>
      <c r="F24" s="218">
        <v>0</v>
      </c>
      <c r="G24" s="218">
        <v>0</v>
      </c>
      <c r="H24" s="701">
        <v>0</v>
      </c>
    </row>
    <row r="25" spans="2:8" ht="12.75">
      <c r="B25" s="159" t="s">
        <v>111</v>
      </c>
      <c r="C25" s="218">
        <v>277</v>
      </c>
      <c r="D25" s="218">
        <v>261</v>
      </c>
      <c r="E25" s="218">
        <v>262</v>
      </c>
      <c r="F25" s="218">
        <v>209</v>
      </c>
      <c r="G25" s="218">
        <v>238</v>
      </c>
      <c r="H25" s="701">
        <v>203</v>
      </c>
    </row>
    <row r="26" spans="2:8" ht="15" customHeight="1">
      <c r="B26" s="335" t="s">
        <v>112</v>
      </c>
      <c r="C26" s="122">
        <f aca="true" t="shared" si="1" ref="C26:H26">+SUM(C13:C25)</f>
        <v>11641</v>
      </c>
      <c r="D26" s="122">
        <f t="shared" si="1"/>
        <v>11545</v>
      </c>
      <c r="E26" s="122">
        <f t="shared" si="1"/>
        <v>11545</v>
      </c>
      <c r="F26" s="122">
        <f t="shared" si="1"/>
        <v>10624</v>
      </c>
      <c r="G26" s="122">
        <f t="shared" si="1"/>
        <v>10318</v>
      </c>
      <c r="H26" s="123">
        <f t="shared" si="1"/>
        <v>8969</v>
      </c>
    </row>
    <row r="27" spans="3:6" ht="12.75">
      <c r="C27" s="28"/>
      <c r="D27" s="28"/>
      <c r="E27" s="28"/>
      <c r="F27" s="28"/>
    </row>
    <row r="28" spans="2:8" ht="12.75">
      <c r="B28" s="762" t="s">
        <v>611</v>
      </c>
      <c r="C28" s="764"/>
      <c r="D28" s="758"/>
      <c r="E28" s="758"/>
      <c r="F28" s="758"/>
      <c r="G28" s="758"/>
      <c r="H28" s="759"/>
    </row>
    <row r="29" spans="2:14" ht="12.75">
      <c r="B29" s="763"/>
      <c r="C29" s="378" t="str">
        <f aca="true" t="shared" si="2" ref="C29:H29">C5</f>
        <v>2013 Restated</v>
      </c>
      <c r="D29" s="378">
        <f t="shared" si="2"/>
        <v>2014</v>
      </c>
      <c r="E29" s="378" t="str">
        <f t="shared" si="2"/>
        <v>2014 Restated</v>
      </c>
      <c r="F29" s="378">
        <f t="shared" si="2"/>
        <v>2015</v>
      </c>
      <c r="G29" s="378">
        <f t="shared" si="2"/>
        <v>2016</v>
      </c>
      <c r="H29" s="379">
        <f t="shared" si="2"/>
        <v>2017</v>
      </c>
      <c r="I29" s="28"/>
      <c r="J29" s="28"/>
      <c r="K29" s="28"/>
      <c r="L29" s="28"/>
      <c r="M29" s="28"/>
      <c r="N29" s="28"/>
    </row>
    <row r="30" spans="2:14" ht="12.75">
      <c r="B30" s="751"/>
      <c r="C30" s="749"/>
      <c r="D30" s="710"/>
      <c r="E30" s="710"/>
      <c r="F30" s="710"/>
      <c r="G30" s="750"/>
      <c r="H30" s="362"/>
      <c r="I30" s="28"/>
      <c r="J30" s="28"/>
      <c r="K30" s="28"/>
      <c r="L30" s="28"/>
      <c r="M30" s="28"/>
      <c r="N30" s="28"/>
    </row>
    <row r="31" spans="2:8" ht="12.75">
      <c r="B31" s="172" t="s">
        <v>607</v>
      </c>
      <c r="C31" s="747">
        <v>6562</v>
      </c>
      <c r="D31" s="218">
        <v>7233</v>
      </c>
      <c r="E31" s="218">
        <v>7233</v>
      </c>
      <c r="F31" s="218">
        <v>6146</v>
      </c>
      <c r="G31" s="218">
        <v>5259</v>
      </c>
      <c r="H31" s="746">
        <v>4747</v>
      </c>
    </row>
    <row r="32" spans="2:8" ht="12.75">
      <c r="B32" s="172" t="s">
        <v>608</v>
      </c>
      <c r="C32" s="747">
        <v>5876</v>
      </c>
      <c r="D32" s="218">
        <v>4935</v>
      </c>
      <c r="E32" s="218">
        <v>4935</v>
      </c>
      <c r="F32" s="218">
        <v>5168</v>
      </c>
      <c r="G32" s="218">
        <v>5697</v>
      </c>
      <c r="H32" s="746">
        <v>4962</v>
      </c>
    </row>
    <row r="33" spans="2:8" ht="12.75">
      <c r="B33" s="172" t="s">
        <v>609</v>
      </c>
      <c r="C33" s="747">
        <v>121</v>
      </c>
      <c r="D33" s="218">
        <v>135</v>
      </c>
      <c r="E33" s="218">
        <v>135</v>
      </c>
      <c r="F33" s="218">
        <v>97</v>
      </c>
      <c r="G33" s="218">
        <v>102</v>
      </c>
      <c r="H33" s="701">
        <v>104</v>
      </c>
    </row>
    <row r="34" spans="2:8" ht="12.75">
      <c r="B34" s="172" t="s">
        <v>70</v>
      </c>
      <c r="C34" s="747">
        <v>-918</v>
      </c>
      <c r="D34" s="218">
        <v>-758</v>
      </c>
      <c r="E34" s="218">
        <v>-758</v>
      </c>
      <c r="F34" s="218">
        <v>-787</v>
      </c>
      <c r="G34" s="218">
        <v>-740</v>
      </c>
      <c r="H34" s="701">
        <v>-844</v>
      </c>
    </row>
    <row r="35" spans="2:8" ht="12.75">
      <c r="B35" s="335" t="s">
        <v>610</v>
      </c>
      <c r="C35" s="748">
        <f aca="true" t="shared" si="3" ref="C35:H35">SUM(C31:C34)</f>
        <v>11641</v>
      </c>
      <c r="D35" s="122">
        <f t="shared" si="3"/>
        <v>11545</v>
      </c>
      <c r="E35" s="122">
        <f t="shared" si="3"/>
        <v>11545</v>
      </c>
      <c r="F35" s="122">
        <f t="shared" si="3"/>
        <v>10624</v>
      </c>
      <c r="G35" s="122">
        <f t="shared" si="3"/>
        <v>10318</v>
      </c>
      <c r="H35" s="123">
        <f t="shared" si="3"/>
        <v>8969</v>
      </c>
    </row>
  </sheetData>
  <sheetProtection/>
  <mergeCells count="4">
    <mergeCell ref="B4:B5"/>
    <mergeCell ref="B28:B29"/>
    <mergeCell ref="C28:H28"/>
    <mergeCell ref="C4:H4"/>
  </mergeCells>
  <printOptions/>
  <pageMargins left="0.7480314960629921" right="0.7480314960629921" top="0.984251968503937" bottom="0.984251968503937"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BQ510"/>
  <sheetViews>
    <sheetView zoomScale="80" zoomScaleNormal="80" zoomScaleSheetLayoutView="40" zoomScalePageLayoutView="0" workbookViewId="0" topLeftCell="A1">
      <pane xSplit="2" ySplit="4" topLeftCell="X98" activePane="bottomRight" state="frozen"/>
      <selection pane="topLeft" activeCell="A1" sqref="A1"/>
      <selection pane="topRight" activeCell="C1" sqref="C1"/>
      <selection pane="bottomLeft" activeCell="A5" sqref="A5"/>
      <selection pane="bottomRight" activeCell="AZ49" sqref="AZ49"/>
    </sheetView>
  </sheetViews>
  <sheetFormatPr defaultColWidth="9.140625" defaultRowHeight="12.75" outlineLevelCol="1"/>
  <cols>
    <col min="1" max="1" width="2.140625" style="57" customWidth="1"/>
    <col min="2" max="2" width="48.7109375" style="57" customWidth="1"/>
    <col min="3" max="7" width="10.7109375" style="57" customWidth="1"/>
    <col min="8" max="8" width="10.57421875" style="57" customWidth="1"/>
    <col min="9" max="9" width="8.7109375" style="104" customWidth="1"/>
    <col min="10" max="11" width="10.7109375" style="57" customWidth="1"/>
    <col min="12" max="16" width="10.7109375" style="57" hidden="1" customWidth="1" outlineLevel="1"/>
    <col min="17" max="17" width="8.7109375" style="57" hidden="1" customWidth="1" outlineLevel="1"/>
    <col min="18" max="19" width="9.7109375" style="57" hidden="1" customWidth="1" outlineLevel="1"/>
    <col min="20" max="20" width="9.7109375" style="57" customWidth="1" collapsed="1"/>
    <col min="21" max="24" width="9.7109375" style="57" customWidth="1"/>
    <col min="25" max="25" width="8.7109375" style="57" customWidth="1"/>
    <col min="26" max="26" width="10.00390625" style="57" customWidth="1"/>
    <col min="27" max="32" width="9.140625" style="57" customWidth="1"/>
    <col min="33" max="33" width="8.7109375" style="57" customWidth="1"/>
    <col min="34" max="35" width="9.28125" style="57" customWidth="1"/>
    <col min="36" max="36" width="9.421875" style="57" customWidth="1"/>
    <col min="37" max="37" width="9.28125" style="57" customWidth="1"/>
    <col min="38" max="38" width="9.8515625" style="57" customWidth="1"/>
    <col min="39" max="39" width="9.28125" style="57" customWidth="1"/>
    <col min="40" max="40" width="9.7109375" style="57" customWidth="1"/>
    <col min="41" max="41" width="9.421875" style="57" customWidth="1"/>
    <col min="42" max="42" width="11.00390625" style="57" customWidth="1"/>
    <col min="43" max="46" width="9.28125" style="57" customWidth="1"/>
    <col min="47" max="47" width="9.421875" style="57" customWidth="1"/>
    <col min="48" max="50" width="9.28125" style="57" customWidth="1"/>
    <col min="51" max="51" width="9.28125" style="57" bestFit="1" customWidth="1"/>
    <col min="52" max="53" width="9.28125" style="57" customWidth="1"/>
    <col min="54" max="54" width="3.140625" style="57" customWidth="1"/>
    <col min="55" max="55" width="9.421875" style="57" bestFit="1" customWidth="1"/>
    <col min="56" max="59" width="9.28125" style="57" bestFit="1" customWidth="1"/>
    <col min="60" max="60" width="9.28125" style="57" customWidth="1"/>
    <col min="61" max="61" width="9.28125" style="57" bestFit="1" customWidth="1"/>
    <col min="62" max="62" width="3.140625" style="57" customWidth="1"/>
    <col min="63" max="69" width="9.140625" style="57" customWidth="1"/>
    <col min="70" max="70" width="3.140625" style="57" customWidth="1"/>
    <col min="71" max="77" width="9.140625" style="57" customWidth="1"/>
    <col min="78" max="78" width="3.140625" style="57" customWidth="1"/>
    <col min="79" max="80" width="9.140625" style="57" customWidth="1"/>
    <col min="81" max="81" width="10.57421875" style="57" bestFit="1" customWidth="1"/>
    <col min="82" max="16384" width="9.140625" style="57" customWidth="1"/>
  </cols>
  <sheetData>
    <row r="1" s="47" customFormat="1" ht="12.75">
      <c r="I1" s="69"/>
    </row>
    <row r="2" spans="1:55" s="49" customFormat="1" ht="15.75">
      <c r="A2" s="48"/>
      <c r="B2" s="126" t="s">
        <v>118</v>
      </c>
      <c r="D2" s="50"/>
      <c r="I2" s="93"/>
      <c r="AU2" s="173"/>
      <c r="BC2" s="173"/>
    </row>
    <row r="3" spans="4:69" s="49" customFormat="1" ht="12.75">
      <c r="D3" s="765" t="s">
        <v>250</v>
      </c>
      <c r="E3" s="766"/>
      <c r="F3" s="766"/>
      <c r="G3" s="766"/>
      <c r="H3" s="766"/>
      <c r="I3" s="766"/>
      <c r="J3" s="766"/>
      <c r="T3" s="765" t="s">
        <v>250</v>
      </c>
      <c r="U3" s="766"/>
      <c r="V3" s="766"/>
      <c r="W3" s="766"/>
      <c r="X3" s="766"/>
      <c r="Y3" s="766"/>
      <c r="Z3" s="766"/>
      <c r="AU3" s="267"/>
      <c r="AV3" s="267"/>
      <c r="AW3" s="267"/>
      <c r="AX3" s="267"/>
      <c r="AY3" s="267"/>
      <c r="AZ3" s="267"/>
      <c r="BA3" s="267"/>
      <c r="BK3" s="267"/>
      <c r="BL3" s="267"/>
      <c r="BM3" s="267"/>
      <c r="BN3" s="267"/>
      <c r="BO3" s="267"/>
      <c r="BP3" s="267"/>
      <c r="BQ3" s="267"/>
    </row>
    <row r="4" spans="2:50" s="51" customFormat="1" ht="17.25" customHeight="1">
      <c r="B4" s="132" t="s">
        <v>214</v>
      </c>
      <c r="D4" s="380" t="s">
        <v>228</v>
      </c>
      <c r="E4" s="381" t="s">
        <v>229</v>
      </c>
      <c r="F4" s="381" t="s">
        <v>230</v>
      </c>
      <c r="G4" s="381" t="s">
        <v>231</v>
      </c>
      <c r="H4" s="381" t="s">
        <v>232</v>
      </c>
      <c r="I4" s="381" t="s">
        <v>233</v>
      </c>
      <c r="J4" s="382" t="s">
        <v>234</v>
      </c>
      <c r="L4" s="380" t="s">
        <v>243</v>
      </c>
      <c r="M4" s="381" t="s">
        <v>244</v>
      </c>
      <c r="N4" s="381" t="s">
        <v>245</v>
      </c>
      <c r="O4" s="381" t="s">
        <v>246</v>
      </c>
      <c r="P4" s="381" t="s">
        <v>247</v>
      </c>
      <c r="Q4" s="381" t="s">
        <v>248</v>
      </c>
      <c r="R4" s="382" t="s">
        <v>249</v>
      </c>
      <c r="T4" s="380" t="s">
        <v>243</v>
      </c>
      <c r="U4" s="381" t="s">
        <v>244</v>
      </c>
      <c r="V4" s="381" t="s">
        <v>245</v>
      </c>
      <c r="W4" s="381" t="s">
        <v>246</v>
      </c>
      <c r="X4" s="381" t="s">
        <v>247</v>
      </c>
      <c r="Y4" s="381" t="s">
        <v>248</v>
      </c>
      <c r="Z4" s="382" t="s">
        <v>249</v>
      </c>
      <c r="AB4" s="380" t="s">
        <v>278</v>
      </c>
      <c r="AC4" s="381" t="s">
        <v>279</v>
      </c>
      <c r="AD4" s="381" t="s">
        <v>280</v>
      </c>
      <c r="AE4" s="381" t="s">
        <v>281</v>
      </c>
      <c r="AF4" s="381" t="s">
        <v>282</v>
      </c>
      <c r="AG4" s="381" t="s">
        <v>283</v>
      </c>
      <c r="AH4" s="382" t="s">
        <v>284</v>
      </c>
      <c r="AJ4" s="380" t="s">
        <v>289</v>
      </c>
      <c r="AK4" s="381" t="s">
        <v>290</v>
      </c>
      <c r="AL4" s="381" t="s">
        <v>379</v>
      </c>
      <c r="AM4" s="381" t="s">
        <v>292</v>
      </c>
      <c r="AN4" s="381" t="s">
        <v>293</v>
      </c>
      <c r="AO4" s="381" t="s">
        <v>294</v>
      </c>
      <c r="AP4" s="382" t="s">
        <v>365</v>
      </c>
      <c r="AR4" s="380" t="s">
        <v>528</v>
      </c>
      <c r="AS4" s="381" t="s">
        <v>530</v>
      </c>
      <c r="AT4" s="381" t="s">
        <v>612</v>
      </c>
      <c r="AU4" s="381" t="s">
        <v>531</v>
      </c>
      <c r="AV4" s="381" t="s">
        <v>532</v>
      </c>
      <c r="AW4" s="381" t="s">
        <v>533</v>
      </c>
      <c r="AX4" s="382" t="s">
        <v>567</v>
      </c>
    </row>
    <row r="5" spans="2:50" s="51" customFormat="1" ht="15" customHeight="1">
      <c r="B5" s="133"/>
      <c r="D5" s="143"/>
      <c r="J5" s="144"/>
      <c r="L5" s="143"/>
      <c r="R5" s="144"/>
      <c r="T5" s="143"/>
      <c r="Z5" s="144"/>
      <c r="AB5" s="143"/>
      <c r="AH5" s="144"/>
      <c r="AJ5" s="184"/>
      <c r="AK5" s="185"/>
      <c r="AL5" s="185"/>
      <c r="AM5" s="185"/>
      <c r="AN5" s="185"/>
      <c r="AO5" s="185"/>
      <c r="AP5" s="186"/>
      <c r="AR5" s="184"/>
      <c r="AS5" s="185"/>
      <c r="AT5" s="185"/>
      <c r="AU5" s="185"/>
      <c r="AV5" s="185"/>
      <c r="AW5" s="185"/>
      <c r="AX5" s="186"/>
    </row>
    <row r="6" spans="2:50" s="51" customFormat="1" ht="13.5" customHeight="1">
      <c r="B6" s="134" t="s">
        <v>119</v>
      </c>
      <c r="D6" s="221">
        <v>1756</v>
      </c>
      <c r="E6" s="52">
        <f>+F6-D6</f>
        <v>1787</v>
      </c>
      <c r="F6" s="220">
        <v>3543</v>
      </c>
      <c r="G6" s="52">
        <f>+H6-F6</f>
        <v>1737</v>
      </c>
      <c r="H6" s="220">
        <v>5280</v>
      </c>
      <c r="I6" s="52">
        <f>+J6-H6</f>
        <v>1882</v>
      </c>
      <c r="J6" s="247">
        <v>7162</v>
      </c>
      <c r="L6" s="221">
        <v>2245</v>
      </c>
      <c r="M6" s="52">
        <f>+N6-L6</f>
        <v>1766</v>
      </c>
      <c r="N6" s="220">
        <v>4011</v>
      </c>
      <c r="O6" s="52">
        <f>+P6-N6</f>
        <v>1889</v>
      </c>
      <c r="P6" s="220">
        <v>5900</v>
      </c>
      <c r="Q6" s="52">
        <f>+R6-P6</f>
        <v>1959</v>
      </c>
      <c r="R6" s="247">
        <v>7859</v>
      </c>
      <c r="T6" s="221">
        <v>2115</v>
      </c>
      <c r="U6" s="52">
        <f>+V6-T6</f>
        <v>1754</v>
      </c>
      <c r="V6" s="220">
        <v>3869</v>
      </c>
      <c r="W6" s="52">
        <f>+X6-V6</f>
        <v>1912</v>
      </c>
      <c r="X6" s="220">
        <v>5781</v>
      </c>
      <c r="Y6" s="52">
        <f>+Z6-X6</f>
        <v>2078</v>
      </c>
      <c r="Z6" s="247">
        <v>7859</v>
      </c>
      <c r="AB6" s="221">
        <v>1703</v>
      </c>
      <c r="AC6" s="52">
        <f>+AD6-AB6</f>
        <v>1581</v>
      </c>
      <c r="AD6" s="220">
        <v>3284</v>
      </c>
      <c r="AE6" s="52">
        <f>+AF6-AD6</f>
        <v>1713</v>
      </c>
      <c r="AF6" s="220">
        <v>4997</v>
      </c>
      <c r="AG6" s="52">
        <f>+AH6-AF6</f>
        <v>1532</v>
      </c>
      <c r="AH6" s="247">
        <v>6529</v>
      </c>
      <c r="AJ6" s="221">
        <v>1361</v>
      </c>
      <c r="AK6" s="52">
        <f>+AL6-AJ6</f>
        <v>1289</v>
      </c>
      <c r="AL6" s="220">
        <v>2650</v>
      </c>
      <c r="AM6" s="52">
        <f>+AN6-AL6</f>
        <v>1413</v>
      </c>
      <c r="AN6" s="220">
        <v>4063</v>
      </c>
      <c r="AO6" s="52">
        <f>+AP6-AN6</f>
        <v>1619</v>
      </c>
      <c r="AP6" s="247">
        <v>5682</v>
      </c>
      <c r="AR6" s="221">
        <v>1387</v>
      </c>
      <c r="AS6" s="52">
        <f>+AT6-AR6</f>
        <v>1157</v>
      </c>
      <c r="AT6" s="220">
        <v>2544</v>
      </c>
      <c r="AU6" s="52">
        <f>+AV6-AT6</f>
        <v>1317</v>
      </c>
      <c r="AV6" s="220">
        <v>3861</v>
      </c>
      <c r="AW6" s="52">
        <f aca="true" t="shared" si="0" ref="AW6:AW12">+AX6-AV6</f>
        <v>1266</v>
      </c>
      <c r="AX6" s="247">
        <v>5127</v>
      </c>
    </row>
    <row r="7" spans="2:50" s="51" customFormat="1" ht="13.5" customHeight="1">
      <c r="B7" s="134" t="s">
        <v>120</v>
      </c>
      <c r="D7" s="221">
        <v>1845</v>
      </c>
      <c r="E7" s="52">
        <f>+F7-D7</f>
        <v>1202</v>
      </c>
      <c r="F7" s="220">
        <v>3047</v>
      </c>
      <c r="G7" s="52">
        <f>+H7-F7</f>
        <v>1299</v>
      </c>
      <c r="H7" s="220">
        <v>4346</v>
      </c>
      <c r="I7" s="52">
        <f>+J7-H7</f>
        <v>1652</v>
      </c>
      <c r="J7" s="247">
        <v>5998</v>
      </c>
      <c r="L7" s="221">
        <v>1495</v>
      </c>
      <c r="M7" s="52">
        <f>+N7-L7</f>
        <v>929</v>
      </c>
      <c r="N7" s="220">
        <v>2424</v>
      </c>
      <c r="O7" s="52">
        <f>+P7-N7</f>
        <v>981</v>
      </c>
      <c r="P7" s="220">
        <v>3405</v>
      </c>
      <c r="Q7" s="52">
        <f>+R7-P7</f>
        <v>1763</v>
      </c>
      <c r="R7" s="247">
        <v>5168</v>
      </c>
      <c r="T7" s="221">
        <v>1566</v>
      </c>
      <c r="U7" s="52">
        <f>+V7-T7</f>
        <v>1019</v>
      </c>
      <c r="V7" s="220">
        <v>2585</v>
      </c>
      <c r="W7" s="52">
        <f>+X7-V7</f>
        <v>1075</v>
      </c>
      <c r="X7" s="220">
        <v>3660</v>
      </c>
      <c r="Y7" s="52">
        <f>+Z7-X7</f>
        <v>1508</v>
      </c>
      <c r="Z7" s="247">
        <v>5168</v>
      </c>
      <c r="AB7" s="221">
        <v>1676</v>
      </c>
      <c r="AC7" s="52">
        <f>+AD7-AB7</f>
        <v>1041</v>
      </c>
      <c r="AD7" s="220">
        <v>2717</v>
      </c>
      <c r="AE7" s="52">
        <f>+AF7-AD7</f>
        <v>1156</v>
      </c>
      <c r="AF7" s="220">
        <v>3873</v>
      </c>
      <c r="AG7" s="52">
        <f>+AH7-AF7</f>
        <v>1639</v>
      </c>
      <c r="AH7" s="247">
        <v>5512</v>
      </c>
      <c r="AJ7" s="221">
        <v>1836</v>
      </c>
      <c r="AK7" s="52">
        <f>+AL7-AJ7</f>
        <v>1275</v>
      </c>
      <c r="AL7" s="220">
        <v>3111</v>
      </c>
      <c r="AM7" s="52">
        <f>+AN7-AL7</f>
        <v>1251</v>
      </c>
      <c r="AN7" s="220">
        <v>4362</v>
      </c>
      <c r="AO7" s="52">
        <f aca="true" t="shared" si="1" ref="AO7:AO41">+AP7-AN7</f>
        <v>1669</v>
      </c>
      <c r="AP7" s="247">
        <v>6031</v>
      </c>
      <c r="AR7" s="221">
        <v>1636</v>
      </c>
      <c r="AS7" s="52">
        <f>+AT7-AR7</f>
        <v>1185</v>
      </c>
      <c r="AT7" s="220">
        <v>2821</v>
      </c>
      <c r="AU7" s="52">
        <f>+AV7-AT7</f>
        <v>1114</v>
      </c>
      <c r="AV7" s="220">
        <v>3935</v>
      </c>
      <c r="AW7" s="52">
        <f t="shared" si="0"/>
        <v>1657</v>
      </c>
      <c r="AX7" s="247">
        <v>5592</v>
      </c>
    </row>
    <row r="8" spans="2:50" s="51" customFormat="1" ht="13.5" customHeight="1">
      <c r="B8" s="134" t="s">
        <v>121</v>
      </c>
      <c r="D8" s="221">
        <v>12</v>
      </c>
      <c r="E8" s="52">
        <f>+F8-D8</f>
        <v>12</v>
      </c>
      <c r="F8" s="220">
        <v>24</v>
      </c>
      <c r="G8" s="52">
        <f>+H8-F8</f>
        <v>13</v>
      </c>
      <c r="H8" s="220">
        <v>37</v>
      </c>
      <c r="I8" s="52">
        <f>+J8-H8</f>
        <v>15</v>
      </c>
      <c r="J8" s="247">
        <v>52</v>
      </c>
      <c r="L8" s="221">
        <v>12</v>
      </c>
      <c r="M8" s="52">
        <f>+N8-L8</f>
        <v>11</v>
      </c>
      <c r="N8" s="220">
        <v>23</v>
      </c>
      <c r="O8" s="52">
        <f>+P8-N8</f>
        <v>12</v>
      </c>
      <c r="P8" s="220">
        <v>35</v>
      </c>
      <c r="Q8" s="52">
        <f>+R8-P8</f>
        <v>13</v>
      </c>
      <c r="R8" s="247">
        <v>48</v>
      </c>
      <c r="T8" s="221">
        <v>12</v>
      </c>
      <c r="U8" s="52">
        <f>+V8-T8</f>
        <v>11</v>
      </c>
      <c r="V8" s="220">
        <v>23</v>
      </c>
      <c r="W8" s="52">
        <f>+X8-V8</f>
        <v>12</v>
      </c>
      <c r="X8" s="220">
        <v>35</v>
      </c>
      <c r="Y8" s="52">
        <f>+Z8-X8</f>
        <v>13</v>
      </c>
      <c r="Z8" s="247">
        <v>48</v>
      </c>
      <c r="AB8" s="221">
        <v>12</v>
      </c>
      <c r="AC8" s="52">
        <f>+AD8-AB8</f>
        <v>12</v>
      </c>
      <c r="AD8" s="220">
        <v>24</v>
      </c>
      <c r="AE8" s="52">
        <f>+AF8-AD8</f>
        <v>12</v>
      </c>
      <c r="AF8" s="220">
        <v>36</v>
      </c>
      <c r="AG8" s="52">
        <f>+AH8-AF8</f>
        <v>13</v>
      </c>
      <c r="AH8" s="247">
        <v>49</v>
      </c>
      <c r="AJ8" s="221">
        <v>12</v>
      </c>
      <c r="AK8" s="52">
        <f>+AL8-AJ8</f>
        <v>13</v>
      </c>
      <c r="AL8" s="220">
        <v>25</v>
      </c>
      <c r="AM8" s="52">
        <f>+AN8-AL8</f>
        <v>12</v>
      </c>
      <c r="AN8" s="220">
        <v>37</v>
      </c>
      <c r="AO8" s="52">
        <f t="shared" si="1"/>
        <v>14</v>
      </c>
      <c r="AP8" s="247">
        <v>51</v>
      </c>
      <c r="AR8" s="221">
        <v>12</v>
      </c>
      <c r="AS8" s="52">
        <f>+AT8-AR8</f>
        <v>12</v>
      </c>
      <c r="AT8" s="220">
        <v>24</v>
      </c>
      <c r="AU8" s="52">
        <f>+AV8-AT8</f>
        <v>12</v>
      </c>
      <c r="AV8" s="220">
        <v>36</v>
      </c>
      <c r="AW8" s="52">
        <f t="shared" si="0"/>
        <v>18</v>
      </c>
      <c r="AX8" s="247">
        <v>54</v>
      </c>
    </row>
    <row r="9" spans="2:50" s="51" customFormat="1" ht="13.5" customHeight="1">
      <c r="B9" s="134" t="s">
        <v>122</v>
      </c>
      <c r="D9" s="221">
        <v>-288</v>
      </c>
      <c r="E9" s="52">
        <f>+F9-D9</f>
        <v>-166</v>
      </c>
      <c r="F9" s="220">
        <v>-454</v>
      </c>
      <c r="G9" s="52">
        <f>+H9-F9</f>
        <v>-215</v>
      </c>
      <c r="H9" s="220">
        <v>-669</v>
      </c>
      <c r="I9" s="52">
        <f>+J9-H9</f>
        <v>-239</v>
      </c>
      <c r="J9" s="247">
        <v>-908</v>
      </c>
      <c r="L9" s="221">
        <v>-215</v>
      </c>
      <c r="M9" s="52">
        <f>+N9-L9</f>
        <v>-151</v>
      </c>
      <c r="N9" s="220">
        <v>-366</v>
      </c>
      <c r="O9" s="52">
        <f>+P9-N9</f>
        <v>-180</v>
      </c>
      <c r="P9" s="220">
        <v>-546</v>
      </c>
      <c r="Q9" s="52">
        <f>+R9-P9</f>
        <v>-204</v>
      </c>
      <c r="R9" s="247">
        <v>-750</v>
      </c>
      <c r="T9" s="221">
        <v>-215</v>
      </c>
      <c r="U9" s="52">
        <f>+V9-T9</f>
        <v>-151</v>
      </c>
      <c r="V9" s="220">
        <v>-366</v>
      </c>
      <c r="W9" s="52">
        <f>+X9-V9</f>
        <v>-180</v>
      </c>
      <c r="X9" s="220">
        <v>-546</v>
      </c>
      <c r="Y9" s="52">
        <f>+Z9-X9</f>
        <v>-204</v>
      </c>
      <c r="Z9" s="247">
        <v>-750</v>
      </c>
      <c r="AB9" s="221">
        <v>-244</v>
      </c>
      <c r="AC9" s="52">
        <f>+AD9-AB9</f>
        <v>-162</v>
      </c>
      <c r="AD9" s="220">
        <v>-406</v>
      </c>
      <c r="AE9" s="52">
        <f>+AF9-AD9</f>
        <v>-191</v>
      </c>
      <c r="AF9" s="220">
        <v>-597</v>
      </c>
      <c r="AG9" s="52">
        <f>+AH9-AF9</f>
        <v>-180</v>
      </c>
      <c r="AH9" s="247">
        <v>-777</v>
      </c>
      <c r="AJ9" s="221">
        <v>-183</v>
      </c>
      <c r="AK9" s="52">
        <f>+AL9-AJ9</f>
        <v>-135</v>
      </c>
      <c r="AL9" s="220">
        <v>-318</v>
      </c>
      <c r="AM9" s="52">
        <f>+AN9-AL9</f>
        <v>-170</v>
      </c>
      <c r="AN9" s="220">
        <v>-488</v>
      </c>
      <c r="AO9" s="52">
        <f t="shared" si="1"/>
        <v>-242</v>
      </c>
      <c r="AP9" s="247">
        <v>-730</v>
      </c>
      <c r="AR9" s="221">
        <v>-237</v>
      </c>
      <c r="AS9" s="52">
        <f>+AT9-AR9</f>
        <v>-184</v>
      </c>
      <c r="AT9" s="220">
        <v>-421</v>
      </c>
      <c r="AU9" s="52">
        <f>+AV9-AT9</f>
        <v>-196</v>
      </c>
      <c r="AV9" s="220">
        <v>-617</v>
      </c>
      <c r="AW9" s="52">
        <f t="shared" si="0"/>
        <v>-216</v>
      </c>
      <c r="AX9" s="247">
        <v>-833</v>
      </c>
    </row>
    <row r="10" spans="2:50" s="53" customFormat="1" ht="13.5" customHeight="1">
      <c r="B10" s="135" t="s">
        <v>150</v>
      </c>
      <c r="D10" s="149">
        <f aca="true" t="shared" si="2" ref="D10:J10">+D6+D7+D8+D9</f>
        <v>3325</v>
      </c>
      <c r="E10" s="54">
        <f t="shared" si="2"/>
        <v>2835</v>
      </c>
      <c r="F10" s="54">
        <f t="shared" si="2"/>
        <v>6160</v>
      </c>
      <c r="G10" s="54">
        <f t="shared" si="2"/>
        <v>2834</v>
      </c>
      <c r="H10" s="54">
        <f t="shared" si="2"/>
        <v>8994</v>
      </c>
      <c r="I10" s="23">
        <f t="shared" si="2"/>
        <v>3310</v>
      </c>
      <c r="J10" s="128">
        <f t="shared" si="2"/>
        <v>12304</v>
      </c>
      <c r="L10" s="149">
        <f aca="true" t="shared" si="3" ref="L10:R10">+L6+L7+L8+L9</f>
        <v>3537</v>
      </c>
      <c r="M10" s="54">
        <f t="shared" si="3"/>
        <v>2555</v>
      </c>
      <c r="N10" s="54">
        <f t="shared" si="3"/>
        <v>6092</v>
      </c>
      <c r="O10" s="54">
        <f t="shared" si="3"/>
        <v>2702</v>
      </c>
      <c r="P10" s="54">
        <f t="shared" si="3"/>
        <v>8794</v>
      </c>
      <c r="Q10" s="23">
        <f t="shared" si="3"/>
        <v>3531</v>
      </c>
      <c r="R10" s="128">
        <f t="shared" si="3"/>
        <v>12325</v>
      </c>
      <c r="T10" s="149">
        <f aca="true" t="shared" si="4" ref="T10:Z10">+T6+T7+T8+T9</f>
        <v>3478</v>
      </c>
      <c r="U10" s="54">
        <f t="shared" si="4"/>
        <v>2633</v>
      </c>
      <c r="V10" s="54">
        <f t="shared" si="4"/>
        <v>6111</v>
      </c>
      <c r="W10" s="54">
        <f t="shared" si="4"/>
        <v>2819</v>
      </c>
      <c r="X10" s="54">
        <f t="shared" si="4"/>
        <v>8930</v>
      </c>
      <c r="Y10" s="23">
        <f t="shared" si="4"/>
        <v>3395</v>
      </c>
      <c r="Z10" s="128">
        <f t="shared" si="4"/>
        <v>12325</v>
      </c>
      <c r="AB10" s="149">
        <f aca="true" t="shared" si="5" ref="AB10:AH10">+AB6+AB7+AB8+AB9</f>
        <v>3147</v>
      </c>
      <c r="AC10" s="54">
        <f t="shared" si="5"/>
        <v>2472</v>
      </c>
      <c r="AD10" s="54">
        <f t="shared" si="5"/>
        <v>5619</v>
      </c>
      <c r="AE10" s="54">
        <f t="shared" si="5"/>
        <v>2690</v>
      </c>
      <c r="AF10" s="54">
        <f t="shared" si="5"/>
        <v>8309</v>
      </c>
      <c r="AG10" s="23">
        <f t="shared" si="5"/>
        <v>3004</v>
      </c>
      <c r="AH10" s="128">
        <f t="shared" si="5"/>
        <v>11313</v>
      </c>
      <c r="AJ10" s="149">
        <f>+AJ6+AJ7+AJ8+AJ9</f>
        <v>3026</v>
      </c>
      <c r="AK10" s="54">
        <f>+AK6+AK7+AK8+AK9</f>
        <v>2442</v>
      </c>
      <c r="AL10" s="54">
        <f>+AL6+AL7+AL8+AL9</f>
        <v>5468</v>
      </c>
      <c r="AM10" s="54">
        <f>+AM6+AM7+AM8+AM9</f>
        <v>2506</v>
      </c>
      <c r="AN10" s="54">
        <f>+AN6+AN7+AN8+AN9</f>
        <v>7974</v>
      </c>
      <c r="AO10" s="23">
        <f t="shared" si="1"/>
        <v>3060</v>
      </c>
      <c r="AP10" s="128">
        <f>+AP6+AP7+AP8+AP9</f>
        <v>11034</v>
      </c>
      <c r="AR10" s="149">
        <f>+SUM(AR6:AR9)</f>
        <v>2798</v>
      </c>
      <c r="AS10" s="54">
        <f>+AS6+AS7+AS8+AS9</f>
        <v>2170</v>
      </c>
      <c r="AT10" s="54">
        <f>+AT6+AT7+AT8+AT9</f>
        <v>4968</v>
      </c>
      <c r="AU10" s="54">
        <f>+AU6+AU7+AU8+AU9</f>
        <v>2247</v>
      </c>
      <c r="AV10" s="23">
        <f>+AV6+AV7+AV8+AV9</f>
        <v>7215</v>
      </c>
      <c r="AW10" s="23">
        <f t="shared" si="0"/>
        <v>2725</v>
      </c>
      <c r="AX10" s="128">
        <f>+AX6+AX7+AX8+AX9</f>
        <v>9940</v>
      </c>
    </row>
    <row r="11" spans="1:50" s="58" customFormat="1" ht="13.5" customHeight="1">
      <c r="A11" s="57"/>
      <c r="B11" s="136" t="s">
        <v>93</v>
      </c>
      <c r="D11" s="223">
        <v>85</v>
      </c>
      <c r="E11" s="52">
        <f>+F11-D11</f>
        <v>382</v>
      </c>
      <c r="F11" s="222">
        <v>467</v>
      </c>
      <c r="G11" s="52">
        <f>+H11-F11</f>
        <v>111</v>
      </c>
      <c r="H11" s="222">
        <v>578</v>
      </c>
      <c r="I11" s="52">
        <f>+J11-H11</f>
        <v>-48</v>
      </c>
      <c r="J11" s="247">
        <v>530</v>
      </c>
      <c r="L11" s="223">
        <v>126</v>
      </c>
      <c r="M11" s="52">
        <f>+N11-L11</f>
        <v>150</v>
      </c>
      <c r="N11" s="222">
        <v>276</v>
      </c>
      <c r="O11" s="52">
        <f>+P11-N11</f>
        <v>194</v>
      </c>
      <c r="P11" s="222">
        <v>470</v>
      </c>
      <c r="Q11" s="52">
        <f>+R11-P11</f>
        <v>-215</v>
      </c>
      <c r="R11" s="247">
        <v>255</v>
      </c>
      <c r="T11" s="223">
        <v>43</v>
      </c>
      <c r="U11" s="52">
        <f>+V11-T11</f>
        <v>53</v>
      </c>
      <c r="V11" s="222">
        <v>96</v>
      </c>
      <c r="W11" s="52">
        <f>+X11-V11</f>
        <v>97</v>
      </c>
      <c r="X11" s="222">
        <v>193</v>
      </c>
      <c r="Y11" s="52">
        <f>+Z11-X11</f>
        <v>62</v>
      </c>
      <c r="Z11" s="247">
        <v>255</v>
      </c>
      <c r="AB11" s="223">
        <v>31</v>
      </c>
      <c r="AC11" s="52">
        <f>+AD11-AB11</f>
        <v>39</v>
      </c>
      <c r="AD11" s="222">
        <v>70</v>
      </c>
      <c r="AE11" s="52">
        <f>+AF11-AD11</f>
        <v>31</v>
      </c>
      <c r="AF11" s="222">
        <v>101</v>
      </c>
      <c r="AG11" s="52">
        <f>+AH11-AF11</f>
        <v>703</v>
      </c>
      <c r="AH11" s="247">
        <v>804</v>
      </c>
      <c r="AJ11" s="223">
        <v>20</v>
      </c>
      <c r="AK11" s="52">
        <f>+AL11-AJ11</f>
        <v>76</v>
      </c>
      <c r="AL11" s="222">
        <v>96</v>
      </c>
      <c r="AM11" s="52">
        <f>+AN11-AL11</f>
        <v>55</v>
      </c>
      <c r="AN11" s="222">
        <v>151</v>
      </c>
      <c r="AO11" s="52">
        <f t="shared" si="1"/>
        <v>81</v>
      </c>
      <c r="AP11" s="247">
        <v>232</v>
      </c>
      <c r="AR11" s="223">
        <v>38</v>
      </c>
      <c r="AS11" s="52">
        <f>+AT11-AR11</f>
        <v>27</v>
      </c>
      <c r="AT11" s="222">
        <v>65</v>
      </c>
      <c r="AU11" s="52">
        <f>+AV11-AT11</f>
        <v>32</v>
      </c>
      <c r="AV11" s="222">
        <v>97</v>
      </c>
      <c r="AW11" s="52">
        <f t="shared" si="0"/>
        <v>46</v>
      </c>
      <c r="AX11" s="247">
        <v>143</v>
      </c>
    </row>
    <row r="12" spans="1:50" ht="12.75" customHeight="1">
      <c r="A12" s="58"/>
      <c r="B12" s="137" t="s">
        <v>151</v>
      </c>
      <c r="D12" s="85">
        <f aca="true" t="shared" si="6" ref="D12:J12">+D10+D11</f>
        <v>3410</v>
      </c>
      <c r="E12" s="39">
        <f t="shared" si="6"/>
        <v>3217</v>
      </c>
      <c r="F12" s="39">
        <f t="shared" si="6"/>
        <v>6627</v>
      </c>
      <c r="G12" s="39">
        <f t="shared" si="6"/>
        <v>2945</v>
      </c>
      <c r="H12" s="39">
        <f t="shared" si="6"/>
        <v>9572</v>
      </c>
      <c r="I12" s="23">
        <f t="shared" si="6"/>
        <v>3262</v>
      </c>
      <c r="J12" s="86">
        <f t="shared" si="6"/>
        <v>12834</v>
      </c>
      <c r="L12" s="85">
        <f aca="true" t="shared" si="7" ref="L12:R12">+L10+L11</f>
        <v>3663</v>
      </c>
      <c r="M12" s="39">
        <f t="shared" si="7"/>
        <v>2705</v>
      </c>
      <c r="N12" s="39">
        <f t="shared" si="7"/>
        <v>6368</v>
      </c>
      <c r="O12" s="39">
        <f t="shared" si="7"/>
        <v>2896</v>
      </c>
      <c r="P12" s="39">
        <f t="shared" si="7"/>
        <v>9264</v>
      </c>
      <c r="Q12" s="23">
        <f t="shared" si="7"/>
        <v>3316</v>
      </c>
      <c r="R12" s="86">
        <f t="shared" si="7"/>
        <v>12580</v>
      </c>
      <c r="T12" s="85">
        <f aca="true" t="shared" si="8" ref="T12:Z12">+T10+T11</f>
        <v>3521</v>
      </c>
      <c r="U12" s="39">
        <f t="shared" si="8"/>
        <v>2686</v>
      </c>
      <c r="V12" s="39">
        <f t="shared" si="8"/>
        <v>6207</v>
      </c>
      <c r="W12" s="39">
        <f t="shared" si="8"/>
        <v>2916</v>
      </c>
      <c r="X12" s="39">
        <f t="shared" si="8"/>
        <v>9123</v>
      </c>
      <c r="Y12" s="23">
        <f t="shared" si="8"/>
        <v>3457</v>
      </c>
      <c r="Z12" s="86">
        <f t="shared" si="8"/>
        <v>12580</v>
      </c>
      <c r="AB12" s="85">
        <f aca="true" t="shared" si="9" ref="AB12:AH12">+AB10+AB11</f>
        <v>3178</v>
      </c>
      <c r="AC12" s="39">
        <f t="shared" si="9"/>
        <v>2511</v>
      </c>
      <c r="AD12" s="39">
        <f t="shared" si="9"/>
        <v>5689</v>
      </c>
      <c r="AE12" s="39">
        <f t="shared" si="9"/>
        <v>2721</v>
      </c>
      <c r="AF12" s="39">
        <f t="shared" si="9"/>
        <v>8410</v>
      </c>
      <c r="AG12" s="23">
        <f t="shared" si="9"/>
        <v>3707</v>
      </c>
      <c r="AH12" s="86">
        <f t="shared" si="9"/>
        <v>12117</v>
      </c>
      <c r="AJ12" s="85">
        <f>+AJ10+AJ11</f>
        <v>3046</v>
      </c>
      <c r="AK12" s="39">
        <f>+AK10+AK11</f>
        <v>2518</v>
      </c>
      <c r="AL12" s="39">
        <f>+AL10+AL11</f>
        <v>5564</v>
      </c>
      <c r="AM12" s="39">
        <f>+AM10+AM11</f>
        <v>2561</v>
      </c>
      <c r="AN12" s="39">
        <f>SUM(AN10:AN11)</f>
        <v>8125</v>
      </c>
      <c r="AO12" s="23">
        <f t="shared" si="1"/>
        <v>3141</v>
      </c>
      <c r="AP12" s="86">
        <f>+AP10+AP11</f>
        <v>11266</v>
      </c>
      <c r="AR12" s="85">
        <f>+AR10+AR11</f>
        <v>2836</v>
      </c>
      <c r="AS12" s="39">
        <f>+AS10+AS11</f>
        <v>2197</v>
      </c>
      <c r="AT12" s="39">
        <f>+AT10+AT11</f>
        <v>5033</v>
      </c>
      <c r="AU12" s="39">
        <f>+AU10+AU11</f>
        <v>2279</v>
      </c>
      <c r="AV12" s="265">
        <f>SUM(AV10:AV11)</f>
        <v>7312</v>
      </c>
      <c r="AW12" s="23">
        <f t="shared" si="0"/>
        <v>2771</v>
      </c>
      <c r="AX12" s="86">
        <f>+AX10+AX11</f>
        <v>10083</v>
      </c>
    </row>
    <row r="13" spans="1:50" ht="12.75" customHeight="1">
      <c r="A13" s="58"/>
      <c r="B13" s="137"/>
      <c r="D13" s="85"/>
      <c r="E13" s="39"/>
      <c r="F13" s="39"/>
      <c r="G13" s="39"/>
      <c r="H13" s="39"/>
      <c r="I13" s="52"/>
      <c r="J13" s="86"/>
      <c r="L13" s="85"/>
      <c r="M13" s="39"/>
      <c r="N13" s="39"/>
      <c r="O13" s="39"/>
      <c r="P13" s="39"/>
      <c r="Q13" s="52"/>
      <c r="R13" s="86"/>
      <c r="T13" s="85"/>
      <c r="U13" s="39"/>
      <c r="V13" s="39"/>
      <c r="W13" s="39"/>
      <c r="X13" s="39"/>
      <c r="Y13" s="52"/>
      <c r="Z13" s="86"/>
      <c r="AB13" s="85"/>
      <c r="AC13" s="39"/>
      <c r="AD13" s="39"/>
      <c r="AE13" s="39"/>
      <c r="AF13" s="39"/>
      <c r="AG13" s="52"/>
      <c r="AH13" s="86"/>
      <c r="AJ13" s="85"/>
      <c r="AK13" s="39"/>
      <c r="AL13" s="39"/>
      <c r="AM13" s="39"/>
      <c r="AN13" s="39"/>
      <c r="AO13" s="52"/>
      <c r="AP13" s="86"/>
      <c r="AR13" s="85"/>
      <c r="AS13" s="39"/>
      <c r="AT13" s="39"/>
      <c r="AU13" s="39"/>
      <c r="AV13" s="265"/>
      <c r="AW13" s="52"/>
      <c r="AX13" s="86"/>
    </row>
    <row r="14" spans="2:50" ht="13.5" customHeight="1">
      <c r="B14" s="136" t="s">
        <v>123</v>
      </c>
      <c r="D14" s="223">
        <v>-3362</v>
      </c>
      <c r="E14" s="52">
        <f>+F14-D14</f>
        <v>-2501</v>
      </c>
      <c r="F14" s="222">
        <v>-5863</v>
      </c>
      <c r="G14" s="52">
        <f>+H14-F14</f>
        <v>-2731</v>
      </c>
      <c r="H14" s="220">
        <v>-8594</v>
      </c>
      <c r="I14" s="52">
        <f>+J14-H14</f>
        <v>-3047</v>
      </c>
      <c r="J14" s="247">
        <v>-11641</v>
      </c>
      <c r="L14" s="223">
        <v>-3392</v>
      </c>
      <c r="M14" s="52">
        <f>+N14-L14</f>
        <v>-2442</v>
      </c>
      <c r="N14" s="222">
        <v>-5834</v>
      </c>
      <c r="O14" s="52">
        <f>+P14-N14</f>
        <v>-2616</v>
      </c>
      <c r="P14" s="220">
        <v>-8450</v>
      </c>
      <c r="Q14" s="52">
        <f>+R14-P14</f>
        <v>-3095</v>
      </c>
      <c r="R14" s="247">
        <v>-11545</v>
      </c>
      <c r="T14" s="223">
        <v>-3250</v>
      </c>
      <c r="U14" s="52">
        <f>+V14-T14</f>
        <v>-2423</v>
      </c>
      <c r="V14" s="222">
        <v>-5673</v>
      </c>
      <c r="W14" s="52">
        <f>+X14-V14</f>
        <v>-2636</v>
      </c>
      <c r="X14" s="220">
        <v>-8309</v>
      </c>
      <c r="Y14" s="52">
        <f>+Z14-X14</f>
        <v>-3236</v>
      </c>
      <c r="Z14" s="247">
        <v>-11545</v>
      </c>
      <c r="AB14" s="223">
        <v>-3072</v>
      </c>
      <c r="AC14" s="52">
        <f>+AD14-AB14</f>
        <v>-2300</v>
      </c>
      <c r="AD14" s="222">
        <v>-5372</v>
      </c>
      <c r="AE14" s="52">
        <f>+AF14-AD14</f>
        <v>-2596</v>
      </c>
      <c r="AF14" s="220">
        <v>-7968</v>
      </c>
      <c r="AG14" s="52">
        <f>+AH14-AF14</f>
        <v>-2656</v>
      </c>
      <c r="AH14" s="247">
        <v>-10624</v>
      </c>
      <c r="AJ14" s="223">
        <v>-2820</v>
      </c>
      <c r="AK14" s="52">
        <f>+AL14-AJ14</f>
        <v>-2269</v>
      </c>
      <c r="AL14" s="222">
        <v>-5089</v>
      </c>
      <c r="AM14" s="52">
        <f>+AN14-AL14</f>
        <v>-2337</v>
      </c>
      <c r="AN14" s="220">
        <v>-7426</v>
      </c>
      <c r="AO14" s="52">
        <f t="shared" si="1"/>
        <v>-2892</v>
      </c>
      <c r="AP14" s="247">
        <v>-10318</v>
      </c>
      <c r="AR14" s="223">
        <v>-2528</v>
      </c>
      <c r="AS14" s="52">
        <f>+AT14-AR14</f>
        <v>-1922</v>
      </c>
      <c r="AT14" s="222">
        <v>-4450</v>
      </c>
      <c r="AU14" s="52">
        <f>+AV14-AT14</f>
        <v>-1987</v>
      </c>
      <c r="AV14" s="220">
        <v>-6437</v>
      </c>
      <c r="AW14" s="52">
        <f>+AX14-AV14</f>
        <v>-2532</v>
      </c>
      <c r="AX14" s="247">
        <v>-8969</v>
      </c>
    </row>
    <row r="15" spans="2:50" ht="12.75">
      <c r="B15" s="136" t="s">
        <v>175</v>
      </c>
      <c r="D15" s="223">
        <v>-54</v>
      </c>
      <c r="E15" s="52">
        <f>+F15-D15</f>
        <v>-55</v>
      </c>
      <c r="F15" s="222">
        <v>-109</v>
      </c>
      <c r="G15" s="52">
        <f>+H15-F15</f>
        <v>-53</v>
      </c>
      <c r="H15" s="222">
        <v>-162</v>
      </c>
      <c r="I15" s="52">
        <f>+J15-H15</f>
        <v>-61</v>
      </c>
      <c r="J15" s="247">
        <v>-223</v>
      </c>
      <c r="L15" s="223">
        <v>-55</v>
      </c>
      <c r="M15" s="52">
        <f>+N15-L15</f>
        <v>-56</v>
      </c>
      <c r="N15" s="222">
        <v>-111</v>
      </c>
      <c r="O15" s="52">
        <f>+P15-N15</f>
        <v>-51</v>
      </c>
      <c r="P15" s="222">
        <v>-162</v>
      </c>
      <c r="Q15" s="52">
        <f>+R15-P15</f>
        <v>-59</v>
      </c>
      <c r="R15" s="247">
        <v>-221</v>
      </c>
      <c r="T15" s="223">
        <v>-55</v>
      </c>
      <c r="U15" s="52">
        <f>+V15-T15</f>
        <v>-56</v>
      </c>
      <c r="V15" s="222">
        <v>-111</v>
      </c>
      <c r="W15" s="52">
        <f>+X15-V15</f>
        <v>-51</v>
      </c>
      <c r="X15" s="222">
        <v>-162</v>
      </c>
      <c r="Y15" s="52">
        <f>+Z15-X15</f>
        <v>-59</v>
      </c>
      <c r="Z15" s="247">
        <v>-221</v>
      </c>
      <c r="AB15" s="223">
        <v>-55</v>
      </c>
      <c r="AC15" s="52">
        <f>+AD15-AB15</f>
        <v>-58</v>
      </c>
      <c r="AD15" s="222">
        <v>-113</v>
      </c>
      <c r="AE15" s="52">
        <f>+AF15-AD15</f>
        <v>-57</v>
      </c>
      <c r="AF15" s="222">
        <v>-170</v>
      </c>
      <c r="AG15" s="52">
        <f>+AH15-AF15</f>
        <v>-62</v>
      </c>
      <c r="AH15" s="247">
        <v>-232</v>
      </c>
      <c r="AJ15" s="223">
        <v>-54</v>
      </c>
      <c r="AK15" s="52">
        <f>+AL15-AJ15</f>
        <v>-81</v>
      </c>
      <c r="AL15" s="222">
        <v>-135</v>
      </c>
      <c r="AM15" s="52">
        <f>+AN15-AL15</f>
        <v>-75</v>
      </c>
      <c r="AN15" s="222">
        <v>-210</v>
      </c>
      <c r="AO15" s="52">
        <f t="shared" si="1"/>
        <v>-85</v>
      </c>
      <c r="AP15" s="247">
        <v>-295</v>
      </c>
      <c r="AR15" s="223">
        <v>-79</v>
      </c>
      <c r="AS15" s="52">
        <f>+AT15-AR15</f>
        <v>-78</v>
      </c>
      <c r="AT15" s="222">
        <v>-157</v>
      </c>
      <c r="AU15" s="52">
        <f>+AV15-AT15</f>
        <v>-71</v>
      </c>
      <c r="AV15" s="222">
        <v>-228</v>
      </c>
      <c r="AW15" s="52">
        <f>+AX15-AV15</f>
        <v>-83</v>
      </c>
      <c r="AX15" s="247">
        <v>-311</v>
      </c>
    </row>
    <row r="16" spans="2:50" s="58" customFormat="1" ht="12.75">
      <c r="B16" s="136"/>
      <c r="D16" s="224"/>
      <c r="E16" s="52"/>
      <c r="F16" s="229"/>
      <c r="G16" s="52"/>
      <c r="H16" s="229"/>
      <c r="I16" s="52"/>
      <c r="J16" s="247"/>
      <c r="L16" s="224"/>
      <c r="M16" s="52"/>
      <c r="N16" s="229"/>
      <c r="O16" s="52"/>
      <c r="P16" s="229"/>
      <c r="Q16" s="52"/>
      <c r="R16" s="247"/>
      <c r="T16" s="224"/>
      <c r="U16" s="52"/>
      <c r="V16" s="229"/>
      <c r="W16" s="52"/>
      <c r="X16" s="229"/>
      <c r="Y16" s="52"/>
      <c r="Z16" s="247"/>
      <c r="AB16" s="224"/>
      <c r="AC16" s="52"/>
      <c r="AD16" s="229"/>
      <c r="AE16" s="52"/>
      <c r="AF16" s="229"/>
      <c r="AG16" s="52"/>
      <c r="AH16" s="247"/>
      <c r="AJ16" s="224"/>
      <c r="AK16" s="52"/>
      <c r="AL16" s="229"/>
      <c r="AM16" s="52"/>
      <c r="AN16" s="229"/>
      <c r="AO16" s="52"/>
      <c r="AP16" s="247"/>
      <c r="AR16" s="224"/>
      <c r="AS16" s="52"/>
      <c r="AT16" s="229"/>
      <c r="AU16" s="52"/>
      <c r="AV16" s="229"/>
      <c r="AW16" s="52"/>
      <c r="AX16" s="247"/>
    </row>
    <row r="17" spans="2:50" s="58" customFormat="1" ht="12.75">
      <c r="B17" s="268" t="s">
        <v>508</v>
      </c>
      <c r="D17" s="221">
        <v>149</v>
      </c>
      <c r="E17" s="52">
        <f>+F17-D17</f>
        <v>204</v>
      </c>
      <c r="F17" s="220">
        <v>353</v>
      </c>
      <c r="G17" s="52">
        <f>+H17-F17</f>
        <v>159</v>
      </c>
      <c r="H17" s="220">
        <v>512</v>
      </c>
      <c r="I17" s="52">
        <f>+J17-H17</f>
        <v>154</v>
      </c>
      <c r="J17" s="247">
        <v>666</v>
      </c>
      <c r="L17" s="221">
        <v>188</v>
      </c>
      <c r="M17" s="52">
        <f>+N17-L17</f>
        <v>176</v>
      </c>
      <c r="N17" s="220">
        <v>364</v>
      </c>
      <c r="O17" s="52">
        <f>+P17-N17</f>
        <v>146</v>
      </c>
      <c r="P17" s="220">
        <v>510</v>
      </c>
      <c r="Q17" s="52">
        <f>+R17-P17</f>
        <v>180</v>
      </c>
      <c r="R17" s="247">
        <v>690</v>
      </c>
      <c r="T17" s="221">
        <v>188</v>
      </c>
      <c r="U17" s="52">
        <f>+V17-T17</f>
        <v>176</v>
      </c>
      <c r="V17" s="220">
        <v>364</v>
      </c>
      <c r="W17" s="52">
        <f>+X17-V17</f>
        <v>146</v>
      </c>
      <c r="X17" s="220">
        <v>510</v>
      </c>
      <c r="Y17" s="52">
        <f>+Z17-X17</f>
        <v>180</v>
      </c>
      <c r="Z17" s="247">
        <v>690</v>
      </c>
      <c r="AB17" s="221">
        <v>109</v>
      </c>
      <c r="AC17" s="52">
        <f>+AD17-AB17</f>
        <v>99</v>
      </c>
      <c r="AD17" s="220">
        <v>208</v>
      </c>
      <c r="AE17" s="52">
        <f>+AF17-AD17</f>
        <v>79</v>
      </c>
      <c r="AF17" s="220">
        <v>287</v>
      </c>
      <c r="AG17" s="52">
        <f>+AH17-AF17</f>
        <v>-11</v>
      </c>
      <c r="AH17" s="247">
        <v>276</v>
      </c>
      <c r="AJ17" s="221">
        <v>43</v>
      </c>
      <c r="AK17" s="52">
        <f>+AL17-AJ17</f>
        <v>79</v>
      </c>
      <c r="AL17" s="220">
        <v>122</v>
      </c>
      <c r="AM17" s="52">
        <f>+AN17-AL17</f>
        <v>60</v>
      </c>
      <c r="AN17" s="220">
        <v>182</v>
      </c>
      <c r="AO17" s="52">
        <f t="shared" si="1"/>
        <v>60</v>
      </c>
      <c r="AP17" s="247">
        <v>242</v>
      </c>
      <c r="AR17" s="221">
        <v>68</v>
      </c>
      <c r="AS17" s="52">
        <f>+AT17-AR17</f>
        <v>63</v>
      </c>
      <c r="AT17" s="220">
        <v>131</v>
      </c>
      <c r="AU17" s="52">
        <f>+AV17-AT17</f>
        <v>101</v>
      </c>
      <c r="AV17" s="220">
        <v>232</v>
      </c>
      <c r="AW17" s="52">
        <f>+AX17-AV17</f>
        <v>33</v>
      </c>
      <c r="AX17" s="247">
        <v>265</v>
      </c>
    </row>
    <row r="18" spans="2:50" s="58" customFormat="1" ht="12.75">
      <c r="B18" s="268" t="s">
        <v>509</v>
      </c>
      <c r="D18" s="221">
        <v>-132</v>
      </c>
      <c r="E18" s="52">
        <f>+F18-D18</f>
        <v>482</v>
      </c>
      <c r="F18" s="220">
        <v>350</v>
      </c>
      <c r="G18" s="52">
        <f>+H18-F18</f>
        <v>23</v>
      </c>
      <c r="H18" s="220">
        <v>373</v>
      </c>
      <c r="I18" s="52">
        <f>+J18-H18</f>
        <v>42</v>
      </c>
      <c r="J18" s="247">
        <v>415</v>
      </c>
      <c r="L18" s="221">
        <v>49</v>
      </c>
      <c r="M18" s="52">
        <f>+N18-L18</f>
        <v>69</v>
      </c>
      <c r="N18" s="220">
        <v>118</v>
      </c>
      <c r="O18" s="52">
        <f>+P18-N18</f>
        <v>115</v>
      </c>
      <c r="P18" s="220">
        <v>233</v>
      </c>
      <c r="Q18" s="52">
        <f>+R18-P18</f>
        <v>22</v>
      </c>
      <c r="R18" s="247">
        <v>255</v>
      </c>
      <c r="T18" s="221">
        <v>49</v>
      </c>
      <c r="U18" s="52">
        <f>+V18-T18</f>
        <v>69</v>
      </c>
      <c r="V18" s="220">
        <v>118</v>
      </c>
      <c r="W18" s="52">
        <f>+X18-V18</f>
        <v>115</v>
      </c>
      <c r="X18" s="220">
        <v>233</v>
      </c>
      <c r="Y18" s="52">
        <f>+Z18-X18</f>
        <v>22</v>
      </c>
      <c r="Z18" s="247">
        <v>255</v>
      </c>
      <c r="AB18" s="221">
        <v>-37</v>
      </c>
      <c r="AC18" s="52">
        <f>+AD18-AB18</f>
        <v>79</v>
      </c>
      <c r="AD18" s="220">
        <v>42</v>
      </c>
      <c r="AE18" s="52">
        <f>+AF18-AD18</f>
        <v>12</v>
      </c>
      <c r="AF18" s="220">
        <v>54</v>
      </c>
      <c r="AG18" s="52">
        <f>+AH18-AF18</f>
        <v>1025</v>
      </c>
      <c r="AH18" s="247">
        <v>1079</v>
      </c>
      <c r="AJ18" s="221">
        <v>147</v>
      </c>
      <c r="AK18" s="52">
        <f>+AL18-AJ18</f>
        <v>113</v>
      </c>
      <c r="AL18" s="220">
        <v>260</v>
      </c>
      <c r="AM18" s="52">
        <f>+AN18-AL18</f>
        <v>107</v>
      </c>
      <c r="AN18" s="220">
        <v>367</v>
      </c>
      <c r="AO18" s="52">
        <f t="shared" si="1"/>
        <v>138</v>
      </c>
      <c r="AP18" s="247">
        <v>505</v>
      </c>
      <c r="AR18" s="221">
        <v>181</v>
      </c>
      <c r="AS18" s="52">
        <f>+AT18-AR18</f>
        <v>166</v>
      </c>
      <c r="AT18" s="220">
        <v>347</v>
      </c>
      <c r="AU18" s="52">
        <f>+AV18-AT18</f>
        <v>133</v>
      </c>
      <c r="AV18" s="220">
        <v>480</v>
      </c>
      <c r="AW18" s="52">
        <f>+AX18-AV18</f>
        <v>157</v>
      </c>
      <c r="AX18" s="247">
        <v>637</v>
      </c>
    </row>
    <row r="19" spans="2:50" s="58" customFormat="1" ht="12.75">
      <c r="B19" s="268" t="s">
        <v>512</v>
      </c>
      <c r="D19" s="221"/>
      <c r="E19" s="52"/>
      <c r="F19" s="220"/>
      <c r="G19" s="52"/>
      <c r="H19" s="220"/>
      <c r="I19" s="52"/>
      <c r="J19" s="247"/>
      <c r="L19" s="221"/>
      <c r="M19" s="52"/>
      <c r="N19" s="220"/>
      <c r="O19" s="52"/>
      <c r="P19" s="220"/>
      <c r="Q19" s="52"/>
      <c r="R19" s="247"/>
      <c r="T19" s="221"/>
      <c r="U19" s="52"/>
      <c r="V19" s="220"/>
      <c r="W19" s="52"/>
      <c r="X19" s="220"/>
      <c r="Y19" s="52"/>
      <c r="Z19" s="247"/>
      <c r="AB19" s="221"/>
      <c r="AC19" s="52"/>
      <c r="AD19" s="220"/>
      <c r="AE19" s="52"/>
      <c r="AF19" s="220"/>
      <c r="AG19" s="52"/>
      <c r="AH19" s="247"/>
      <c r="AJ19" s="221"/>
      <c r="AK19" s="52"/>
      <c r="AL19" s="220"/>
      <c r="AM19" s="52"/>
      <c r="AN19" s="220"/>
      <c r="AO19" s="52"/>
      <c r="AP19" s="247"/>
      <c r="AR19" s="221"/>
      <c r="AS19" s="52"/>
      <c r="AT19" s="220"/>
      <c r="AU19" s="52"/>
      <c r="AV19" s="220"/>
      <c r="AW19" s="52"/>
      <c r="AX19" s="247"/>
    </row>
    <row r="20" spans="2:50" s="58" customFormat="1" ht="12.75">
      <c r="B20" s="268" t="s">
        <v>510</v>
      </c>
      <c r="D20" s="221">
        <v>106</v>
      </c>
      <c r="E20" s="52">
        <f>+F20-D20</f>
        <v>108</v>
      </c>
      <c r="F20" s="220">
        <v>214</v>
      </c>
      <c r="G20" s="52">
        <f>+H20-F20</f>
        <v>119</v>
      </c>
      <c r="H20" s="220">
        <v>333</v>
      </c>
      <c r="I20" s="52">
        <f>+J20-H20</f>
        <v>111</v>
      </c>
      <c r="J20" s="247">
        <v>444</v>
      </c>
      <c r="L20" s="221">
        <v>103</v>
      </c>
      <c r="M20" s="52">
        <f>+N20-L20</f>
        <v>113</v>
      </c>
      <c r="N20" s="220">
        <v>216</v>
      </c>
      <c r="O20" s="52">
        <f>+P20-N20</f>
        <v>102</v>
      </c>
      <c r="P20" s="220">
        <v>318</v>
      </c>
      <c r="Q20" s="52">
        <f>+R20-P20</f>
        <v>109</v>
      </c>
      <c r="R20" s="247">
        <v>427</v>
      </c>
      <c r="T20" s="221">
        <v>103</v>
      </c>
      <c r="U20" s="52">
        <f>+V20-T20</f>
        <v>113</v>
      </c>
      <c r="V20" s="220">
        <v>216</v>
      </c>
      <c r="W20" s="52">
        <f>+X20-V20</f>
        <v>102</v>
      </c>
      <c r="X20" s="220">
        <v>318</v>
      </c>
      <c r="Y20" s="52">
        <f>+Z20-X20</f>
        <v>109</v>
      </c>
      <c r="Z20" s="247">
        <v>427</v>
      </c>
      <c r="AB20" s="221">
        <v>65</v>
      </c>
      <c r="AC20" s="52">
        <f>+AD20-AB20</f>
        <v>80</v>
      </c>
      <c r="AD20" s="220">
        <v>145</v>
      </c>
      <c r="AE20" s="52">
        <f>+AF20-AD20</f>
        <v>47</v>
      </c>
      <c r="AF20" s="220">
        <v>192</v>
      </c>
      <c r="AG20" s="52">
        <f>+AH20-AF20</f>
        <v>51</v>
      </c>
      <c r="AH20" s="247">
        <v>243</v>
      </c>
      <c r="AJ20" s="221">
        <v>37</v>
      </c>
      <c r="AK20" s="52">
        <f>+AL20-AJ20</f>
        <v>46</v>
      </c>
      <c r="AL20" s="220">
        <v>83</v>
      </c>
      <c r="AM20" s="52">
        <f>+AN20-AL20</f>
        <v>69</v>
      </c>
      <c r="AN20" s="220">
        <v>152</v>
      </c>
      <c r="AO20" s="52">
        <f t="shared" si="1"/>
        <v>30</v>
      </c>
      <c r="AP20" s="247">
        <v>182</v>
      </c>
      <c r="AR20" s="221">
        <v>60</v>
      </c>
      <c r="AS20" s="52">
        <f>+AT20-AR20</f>
        <v>83</v>
      </c>
      <c r="AT20" s="220">
        <v>143</v>
      </c>
      <c r="AU20" s="52">
        <f>+AV20-AT20</f>
        <v>60</v>
      </c>
      <c r="AV20" s="220">
        <v>203</v>
      </c>
      <c r="AW20" s="52">
        <f>+AX20-AV20</f>
        <v>60</v>
      </c>
      <c r="AX20" s="247">
        <v>263</v>
      </c>
    </row>
    <row r="21" spans="2:50" s="58" customFormat="1" ht="12.75">
      <c r="B21" s="268" t="s">
        <v>358</v>
      </c>
      <c r="D21" s="221">
        <v>-238</v>
      </c>
      <c r="E21" s="52">
        <f>+F21-D21</f>
        <v>374</v>
      </c>
      <c r="F21" s="220">
        <v>136</v>
      </c>
      <c r="G21" s="52">
        <f>+H21-F21</f>
        <v>-96</v>
      </c>
      <c r="H21" s="220">
        <v>40</v>
      </c>
      <c r="I21" s="52">
        <f>+J21-H21</f>
        <v>-69</v>
      </c>
      <c r="J21" s="247">
        <v>-29</v>
      </c>
      <c r="L21" s="221">
        <v>-54</v>
      </c>
      <c r="M21" s="52">
        <f>+N21-L21</f>
        <v>-44</v>
      </c>
      <c r="N21" s="220">
        <v>-98</v>
      </c>
      <c r="O21" s="52">
        <f>+P21-N21</f>
        <v>13</v>
      </c>
      <c r="P21" s="220">
        <v>-85</v>
      </c>
      <c r="Q21" s="52">
        <f>+R21-P21</f>
        <v>-87</v>
      </c>
      <c r="R21" s="247">
        <v>-172</v>
      </c>
      <c r="T21" s="221">
        <v>-54</v>
      </c>
      <c r="U21" s="52">
        <f>+V21-T21</f>
        <v>-44</v>
      </c>
      <c r="V21" s="220">
        <v>-98</v>
      </c>
      <c r="W21" s="52">
        <f>+X21-V21</f>
        <v>13</v>
      </c>
      <c r="X21" s="220">
        <v>-85</v>
      </c>
      <c r="Y21" s="52">
        <f>+Z21-X21</f>
        <v>-87</v>
      </c>
      <c r="Z21" s="247">
        <v>-172</v>
      </c>
      <c r="AB21" s="221">
        <v>-102</v>
      </c>
      <c r="AC21" s="52">
        <f>+AD21-AB21</f>
        <v>-1</v>
      </c>
      <c r="AD21" s="220">
        <v>-103</v>
      </c>
      <c r="AE21" s="52">
        <f>+AF21-AD21</f>
        <v>-35</v>
      </c>
      <c r="AF21" s="220">
        <v>-138</v>
      </c>
      <c r="AG21" s="52">
        <f>+AH21-AF21</f>
        <v>974</v>
      </c>
      <c r="AH21" s="247">
        <v>836</v>
      </c>
      <c r="AJ21" s="221">
        <v>110</v>
      </c>
      <c r="AK21" s="52">
        <f>+AL21-AJ21</f>
        <v>67</v>
      </c>
      <c r="AL21" s="220">
        <v>177</v>
      </c>
      <c r="AM21" s="52">
        <f>+AN21-AL21</f>
        <v>38</v>
      </c>
      <c r="AN21" s="220">
        <v>215</v>
      </c>
      <c r="AO21" s="52">
        <f>+AP21-AN21</f>
        <v>108</v>
      </c>
      <c r="AP21" s="247">
        <v>323</v>
      </c>
      <c r="AR21" s="221">
        <v>121</v>
      </c>
      <c r="AS21" s="52">
        <f>+AT21-AR21</f>
        <v>83</v>
      </c>
      <c r="AT21" s="220">
        <v>204</v>
      </c>
      <c r="AU21" s="52">
        <f>+AV21-AT21</f>
        <v>73</v>
      </c>
      <c r="AV21" s="220">
        <v>277</v>
      </c>
      <c r="AW21" s="52">
        <f>+AX21-AV21</f>
        <v>97</v>
      </c>
      <c r="AX21" s="247">
        <v>374</v>
      </c>
    </row>
    <row r="22" spans="2:50" s="58" customFormat="1" ht="12.75">
      <c r="B22" s="268" t="s">
        <v>359</v>
      </c>
      <c r="D22" s="221">
        <v>-23</v>
      </c>
      <c r="E22" s="52">
        <f>+F22-D22</f>
        <v>-25</v>
      </c>
      <c r="F22" s="220">
        <v>-48</v>
      </c>
      <c r="G22" s="52">
        <f>+H22-F22</f>
        <v>-21</v>
      </c>
      <c r="H22" s="220">
        <v>-69</v>
      </c>
      <c r="I22" s="52">
        <f>+J22-H22</f>
        <v>-42</v>
      </c>
      <c r="J22" s="247">
        <v>-111</v>
      </c>
      <c r="L22" s="221">
        <v>-21</v>
      </c>
      <c r="M22" s="52">
        <f>+N22-L22</f>
        <v>-38</v>
      </c>
      <c r="N22" s="220">
        <v>-59</v>
      </c>
      <c r="O22" s="52">
        <f>+P22-N22</f>
        <v>-32</v>
      </c>
      <c r="P22" s="220">
        <v>-91</v>
      </c>
      <c r="Q22" s="52">
        <f>+R22-P22</f>
        <v>-40</v>
      </c>
      <c r="R22" s="247">
        <v>-131</v>
      </c>
      <c r="T22" s="221">
        <v>-21</v>
      </c>
      <c r="U22" s="52">
        <f>+V22-T22</f>
        <v>-38</v>
      </c>
      <c r="V22" s="220">
        <v>-59</v>
      </c>
      <c r="W22" s="52">
        <f>+X22-V22</f>
        <v>-32</v>
      </c>
      <c r="X22" s="220">
        <v>-91</v>
      </c>
      <c r="Y22" s="52">
        <f>+Z22-X22</f>
        <v>-40</v>
      </c>
      <c r="Z22" s="247">
        <v>-131</v>
      </c>
      <c r="AB22" s="221">
        <v>-21</v>
      </c>
      <c r="AC22" s="52">
        <f>+AD22-AB22</f>
        <v>-25</v>
      </c>
      <c r="AD22" s="220">
        <v>-46</v>
      </c>
      <c r="AE22" s="52">
        <f>+AF22-AD22</f>
        <v>-23</v>
      </c>
      <c r="AF22" s="220">
        <v>-69</v>
      </c>
      <c r="AG22" s="52">
        <f>+AH22-AF22</f>
        <v>-25</v>
      </c>
      <c r="AH22" s="247">
        <v>-94</v>
      </c>
      <c r="AI22" s="19"/>
      <c r="AJ22" s="221">
        <v>-18</v>
      </c>
      <c r="AK22" s="52">
        <f>+AL22-AJ22</f>
        <v>-24</v>
      </c>
      <c r="AL22" s="220">
        <v>-42</v>
      </c>
      <c r="AM22" s="52">
        <f>+AN22-AL22</f>
        <v>-18</v>
      </c>
      <c r="AN22" s="220">
        <v>-60</v>
      </c>
      <c r="AO22" s="52">
        <f t="shared" si="1"/>
        <v>-34</v>
      </c>
      <c r="AP22" s="247">
        <v>-94</v>
      </c>
      <c r="AR22" s="221">
        <v>-20</v>
      </c>
      <c r="AS22" s="52">
        <f>+AT22-AR22</f>
        <v>-32</v>
      </c>
      <c r="AT22" s="220">
        <v>-52</v>
      </c>
      <c r="AU22" s="52">
        <f>+AV22-AT22</f>
        <v>-13</v>
      </c>
      <c r="AV22" s="220">
        <v>-65</v>
      </c>
      <c r="AW22" s="52">
        <f>+AX22-AV22</f>
        <v>-34</v>
      </c>
      <c r="AX22" s="247">
        <v>-99</v>
      </c>
    </row>
    <row r="23" spans="2:50" s="61" customFormat="1" ht="13.5" customHeight="1">
      <c r="B23" s="269" t="s">
        <v>494</v>
      </c>
      <c r="D23" s="147">
        <f>SUM(D12:D15)</f>
        <v>-6</v>
      </c>
      <c r="E23" s="59">
        <f aca="true" t="shared" si="10" ref="E23:J23">+E12+E14+E15</f>
        <v>661</v>
      </c>
      <c r="F23" s="59">
        <f t="shared" si="10"/>
        <v>655</v>
      </c>
      <c r="G23" s="59">
        <f t="shared" si="10"/>
        <v>161</v>
      </c>
      <c r="H23" s="59">
        <f t="shared" si="10"/>
        <v>816</v>
      </c>
      <c r="I23" s="23">
        <f t="shared" si="10"/>
        <v>154</v>
      </c>
      <c r="J23" s="128">
        <f t="shared" si="10"/>
        <v>970</v>
      </c>
      <c r="L23" s="147">
        <f>SUM(L12:L15)</f>
        <v>216</v>
      </c>
      <c r="M23" s="59">
        <f aca="true" t="shared" si="11" ref="M23:R23">+M12+M14+M15</f>
        <v>207</v>
      </c>
      <c r="N23" s="59">
        <f t="shared" si="11"/>
        <v>423</v>
      </c>
      <c r="O23" s="59">
        <f t="shared" si="11"/>
        <v>229</v>
      </c>
      <c r="P23" s="59">
        <f t="shared" si="11"/>
        <v>652</v>
      </c>
      <c r="Q23" s="23">
        <f t="shared" si="11"/>
        <v>162</v>
      </c>
      <c r="R23" s="128">
        <f t="shared" si="11"/>
        <v>814</v>
      </c>
      <c r="T23" s="147">
        <f>SUM(T12:T15)</f>
        <v>216</v>
      </c>
      <c r="U23" s="59">
        <f aca="true" t="shared" si="12" ref="U23:Z23">+U12+U14+U15</f>
        <v>207</v>
      </c>
      <c r="V23" s="59">
        <f t="shared" si="12"/>
        <v>423</v>
      </c>
      <c r="W23" s="59">
        <f t="shared" si="12"/>
        <v>229</v>
      </c>
      <c r="X23" s="59">
        <f t="shared" si="12"/>
        <v>652</v>
      </c>
      <c r="Y23" s="23">
        <f t="shared" si="12"/>
        <v>162</v>
      </c>
      <c r="Z23" s="128">
        <f t="shared" si="12"/>
        <v>814</v>
      </c>
      <c r="AB23" s="147">
        <f>SUM(AB12:AB15)</f>
        <v>51</v>
      </c>
      <c r="AC23" s="59">
        <f aca="true" t="shared" si="13" ref="AC23:AH23">+AC12+AC14+AC15</f>
        <v>153</v>
      </c>
      <c r="AD23" s="59">
        <f t="shared" si="13"/>
        <v>204</v>
      </c>
      <c r="AE23" s="59">
        <f t="shared" si="13"/>
        <v>68</v>
      </c>
      <c r="AF23" s="59">
        <f t="shared" si="13"/>
        <v>272</v>
      </c>
      <c r="AG23" s="23">
        <f t="shared" si="13"/>
        <v>989</v>
      </c>
      <c r="AH23" s="128">
        <f t="shared" si="13"/>
        <v>1261</v>
      </c>
      <c r="AJ23" s="147">
        <f>SUM(AJ12:AJ15)</f>
        <v>172</v>
      </c>
      <c r="AK23" s="59">
        <f>SUM(AK12:AK15)</f>
        <v>168</v>
      </c>
      <c r="AL23" s="59">
        <f>SUM(AL12:AL15)</f>
        <v>340</v>
      </c>
      <c r="AM23" s="59">
        <f>SUM(AM12:AM15)</f>
        <v>149</v>
      </c>
      <c r="AN23" s="59">
        <f>SUM(AN12:AN15)</f>
        <v>489</v>
      </c>
      <c r="AO23" s="23">
        <f t="shared" si="1"/>
        <v>164</v>
      </c>
      <c r="AP23" s="128">
        <f>+AP17+AP18+AP22</f>
        <v>653</v>
      </c>
      <c r="AR23" s="147">
        <f>+AR17+AR18+AR22</f>
        <v>229</v>
      </c>
      <c r="AS23" s="59">
        <f aca="true" t="shared" si="14" ref="AS23:AX23">+AS17+AS18+AS22</f>
        <v>197</v>
      </c>
      <c r="AT23" s="59">
        <f t="shared" si="14"/>
        <v>426</v>
      </c>
      <c r="AU23" s="59">
        <f t="shared" si="14"/>
        <v>221</v>
      </c>
      <c r="AV23" s="275">
        <f t="shared" si="14"/>
        <v>647</v>
      </c>
      <c r="AW23" s="59">
        <f t="shared" si="14"/>
        <v>156</v>
      </c>
      <c r="AX23" s="270">
        <f t="shared" si="14"/>
        <v>803</v>
      </c>
    </row>
    <row r="24" spans="2:50" s="61" customFormat="1" ht="13.5" customHeight="1">
      <c r="B24" s="269"/>
      <c r="D24" s="147"/>
      <c r="E24" s="59"/>
      <c r="F24" s="59"/>
      <c r="G24" s="59"/>
      <c r="H24" s="59"/>
      <c r="I24" s="23"/>
      <c r="J24" s="128"/>
      <c r="L24" s="147"/>
      <c r="M24" s="59"/>
      <c r="N24" s="59"/>
      <c r="O24" s="59"/>
      <c r="P24" s="59"/>
      <c r="Q24" s="23"/>
      <c r="R24" s="128"/>
      <c r="T24" s="147"/>
      <c r="U24" s="59"/>
      <c r="V24" s="59"/>
      <c r="W24" s="59"/>
      <c r="X24" s="59"/>
      <c r="Y24" s="23"/>
      <c r="Z24" s="128"/>
      <c r="AB24" s="147"/>
      <c r="AC24" s="59"/>
      <c r="AD24" s="59"/>
      <c r="AE24" s="59"/>
      <c r="AF24" s="59"/>
      <c r="AG24" s="23"/>
      <c r="AH24" s="128"/>
      <c r="AJ24" s="147"/>
      <c r="AK24" s="59"/>
      <c r="AL24" s="59"/>
      <c r="AM24" s="59"/>
      <c r="AN24" s="59"/>
      <c r="AO24" s="23"/>
      <c r="AP24" s="128"/>
      <c r="AR24" s="147"/>
      <c r="AS24" s="59"/>
      <c r="AT24" s="59"/>
      <c r="AU24" s="59"/>
      <c r="AV24" s="275"/>
      <c r="AW24" s="23"/>
      <c r="AX24" s="128"/>
    </row>
    <row r="25" spans="2:50" ht="12.75">
      <c r="B25" s="172" t="s">
        <v>285</v>
      </c>
      <c r="D25" s="225">
        <v>-20</v>
      </c>
      <c r="E25" s="52">
        <f>+F25-D25</f>
        <v>2</v>
      </c>
      <c r="F25" s="229">
        <v>-18</v>
      </c>
      <c r="G25" s="52">
        <f>+H25-F25</f>
        <v>9</v>
      </c>
      <c r="H25" s="220">
        <v>-9</v>
      </c>
      <c r="I25" s="52">
        <f>+J25-H25</f>
        <v>0</v>
      </c>
      <c r="J25" s="247">
        <v>-9</v>
      </c>
      <c r="L25" s="225">
        <v>134</v>
      </c>
      <c r="M25" s="52">
        <f>+N25-L25</f>
        <v>23</v>
      </c>
      <c r="N25" s="229">
        <v>157</v>
      </c>
      <c r="O25" s="52">
        <f>+P25-N25</f>
        <v>-37</v>
      </c>
      <c r="P25" s="220">
        <v>120</v>
      </c>
      <c r="Q25" s="52">
        <f>+R25-P25</f>
        <v>130</v>
      </c>
      <c r="R25" s="247">
        <v>250</v>
      </c>
      <c r="T25" s="225">
        <v>134</v>
      </c>
      <c r="U25" s="52">
        <f>+V25-T25</f>
        <v>23</v>
      </c>
      <c r="V25" s="229">
        <v>157</v>
      </c>
      <c r="W25" s="52">
        <f>+X25-V25</f>
        <v>-37</v>
      </c>
      <c r="X25" s="220">
        <v>120</v>
      </c>
      <c r="Y25" s="52">
        <f>+Z25-X25</f>
        <v>130</v>
      </c>
      <c r="Z25" s="247">
        <v>250</v>
      </c>
      <c r="AB25" s="225">
        <v>-13</v>
      </c>
      <c r="AC25" s="52">
        <f>+AD25-AB25</f>
        <v>-35</v>
      </c>
      <c r="AD25" s="229">
        <v>-48</v>
      </c>
      <c r="AE25" s="52">
        <f>+AF25-AD25</f>
        <v>91</v>
      </c>
      <c r="AF25" s="220">
        <v>43</v>
      </c>
      <c r="AG25" s="52">
        <f>+AH25-AF25</f>
        <v>118</v>
      </c>
      <c r="AH25" s="247">
        <v>161</v>
      </c>
      <c r="AJ25" s="225">
        <v>-92</v>
      </c>
      <c r="AK25" s="52">
        <f>+AL25-AJ25</f>
        <v>15</v>
      </c>
      <c r="AL25" s="229">
        <v>-77</v>
      </c>
      <c r="AM25" s="52">
        <f>+AN25-AL25</f>
        <v>-56</v>
      </c>
      <c r="AN25" s="220">
        <v>-133</v>
      </c>
      <c r="AO25" s="52">
        <f t="shared" si="1"/>
        <v>-33</v>
      </c>
      <c r="AP25" s="247">
        <v>-166</v>
      </c>
      <c r="AR25" s="225">
        <v>-98</v>
      </c>
      <c r="AS25" s="52">
        <f>+AT25-AR25</f>
        <v>-63</v>
      </c>
      <c r="AT25" s="229">
        <v>-161</v>
      </c>
      <c r="AU25" s="52">
        <f>+AV25-AT25</f>
        <v>-35</v>
      </c>
      <c r="AV25" s="220">
        <v>-196</v>
      </c>
      <c r="AW25" s="52">
        <f>+AX25-AV25</f>
        <v>-25</v>
      </c>
      <c r="AX25" s="247">
        <v>-221</v>
      </c>
    </row>
    <row r="26" spans="2:50" ht="12.75">
      <c r="B26" s="172" t="s">
        <v>376</v>
      </c>
      <c r="D26" s="225">
        <v>-116</v>
      </c>
      <c r="E26" s="52">
        <f>+F26-D26</f>
        <v>-121</v>
      </c>
      <c r="F26" s="229">
        <f>-162-42-33</f>
        <v>-237</v>
      </c>
      <c r="G26" s="52">
        <f>+H26-F26</f>
        <v>-123</v>
      </c>
      <c r="H26" s="220">
        <f>-244-63-53</f>
        <v>-360</v>
      </c>
      <c r="I26" s="52">
        <f>+J26-H26</f>
        <v>-176</v>
      </c>
      <c r="J26" s="247">
        <f>-345-84-107</f>
        <v>-536</v>
      </c>
      <c r="L26" s="225">
        <v>-129</v>
      </c>
      <c r="M26" s="52">
        <f>+N26-L26</f>
        <v>-117</v>
      </c>
      <c r="N26" s="229">
        <f>-170-39-37</f>
        <v>-246</v>
      </c>
      <c r="O26" s="52">
        <f>+P26-N26</f>
        <v>-123</v>
      </c>
      <c r="P26" s="220">
        <f>-255-57-57</f>
        <v>-369</v>
      </c>
      <c r="Q26" s="52">
        <f>+R26-P26</f>
        <v>-152</v>
      </c>
      <c r="R26" s="247">
        <f>-354-82-85</f>
        <v>-521</v>
      </c>
      <c r="T26" s="225">
        <f>-86-20-23</f>
        <v>-129</v>
      </c>
      <c r="U26" s="52">
        <f>+V26-T26</f>
        <v>-117</v>
      </c>
      <c r="V26" s="229">
        <f>-170-39-37</f>
        <v>-246</v>
      </c>
      <c r="W26" s="52">
        <f>+X26-V26</f>
        <v>-124</v>
      </c>
      <c r="X26" s="220">
        <v>-370</v>
      </c>
      <c r="Y26" s="52">
        <f>+Z26-X26</f>
        <v>-151</v>
      </c>
      <c r="Z26" s="247">
        <f>-354-67-82-18</f>
        <v>-521</v>
      </c>
      <c r="AB26" s="225">
        <f>-90-16-44</f>
        <v>-150</v>
      </c>
      <c r="AC26" s="52">
        <f>+AD26-AB26</f>
        <v>-139</v>
      </c>
      <c r="AD26" s="229">
        <f>-182-30-77</f>
        <v>-289</v>
      </c>
      <c r="AE26" s="52">
        <f>+AF26-AD26</f>
        <v>-150</v>
      </c>
      <c r="AF26" s="220">
        <f>-269-51-119</f>
        <v>-439</v>
      </c>
      <c r="AG26" s="52">
        <f>+AH26-AF26</f>
        <v>-221</v>
      </c>
      <c r="AH26" s="247">
        <f>-428-139-76-17</f>
        <v>-660</v>
      </c>
      <c r="AJ26" s="225">
        <f>-73-25-13-3</f>
        <v>-114</v>
      </c>
      <c r="AK26" s="52">
        <f aca="true" t="shared" si="15" ref="AK26:AM28">+AL26-AJ26</f>
        <v>-127</v>
      </c>
      <c r="AL26" s="229">
        <f>-166-41-26-8</f>
        <v>-241</v>
      </c>
      <c r="AM26" s="52">
        <f t="shared" si="15"/>
        <v>-119</v>
      </c>
      <c r="AN26" s="220">
        <f>-251-57-40-12</f>
        <v>-360</v>
      </c>
      <c r="AO26" s="52">
        <f t="shared" si="1"/>
        <v>-118</v>
      </c>
      <c r="AP26" s="247">
        <f>-348-68-45-17</f>
        <v>-478</v>
      </c>
      <c r="AR26" s="225">
        <v>-122</v>
      </c>
      <c r="AS26" s="52">
        <f>+AT26-AR26</f>
        <v>-118</v>
      </c>
      <c r="AT26" s="229">
        <v>-240</v>
      </c>
      <c r="AU26" s="52">
        <f>+AV26-AT26</f>
        <v>-121</v>
      </c>
      <c r="AV26" s="220">
        <v>-361</v>
      </c>
      <c r="AW26" s="52">
        <f>+AX26-AV26</f>
        <v>-125</v>
      </c>
      <c r="AX26" s="247">
        <v>-486</v>
      </c>
    </row>
    <row r="27" spans="2:50" ht="12.75">
      <c r="B27" s="172" t="s">
        <v>377</v>
      </c>
      <c r="D27" s="225">
        <v>-2</v>
      </c>
      <c r="E27" s="52">
        <f>+F27-D27</f>
        <v>-47</v>
      </c>
      <c r="F27" s="229">
        <f>-46-3</f>
        <v>-49</v>
      </c>
      <c r="G27" s="52">
        <f>+H27-F27</f>
        <v>1</v>
      </c>
      <c r="H27" s="220">
        <f>-46-2</f>
        <v>-48</v>
      </c>
      <c r="I27" s="52">
        <f>+J27-H27</f>
        <v>-52</v>
      </c>
      <c r="J27" s="247">
        <f>-95-5</f>
        <v>-100</v>
      </c>
      <c r="L27" s="225">
        <v>-1</v>
      </c>
      <c r="M27" s="52">
        <f>+N27-L27</f>
        <v>0</v>
      </c>
      <c r="N27" s="229">
        <v>-1</v>
      </c>
      <c r="O27" s="52">
        <f>+P27-N27</f>
        <v>0</v>
      </c>
      <c r="P27" s="220">
        <v>-1</v>
      </c>
      <c r="Q27" s="52">
        <f>+R27-P27</f>
        <v>-239</v>
      </c>
      <c r="R27" s="247">
        <f>-40-39-161</f>
        <v>-240</v>
      </c>
      <c r="T27" s="225">
        <v>-1</v>
      </c>
      <c r="U27" s="52">
        <f>+V27-T27</f>
        <v>0</v>
      </c>
      <c r="V27" s="229">
        <v>-1</v>
      </c>
      <c r="W27" s="52">
        <f>+X27-V27</f>
        <v>1</v>
      </c>
      <c r="X27" s="220">
        <v>0</v>
      </c>
      <c r="Y27" s="52">
        <f>+Z27-X27</f>
        <v>-240</v>
      </c>
      <c r="Z27" s="247">
        <f>-40-39-161</f>
        <v>-240</v>
      </c>
      <c r="AB27" s="225">
        <v>0</v>
      </c>
      <c r="AC27" s="52">
        <f>+AD27-AB27</f>
        <v>-11</v>
      </c>
      <c r="AD27" s="229">
        <v>-11</v>
      </c>
      <c r="AE27" s="52">
        <f>+AF27-AD27</f>
        <v>0</v>
      </c>
      <c r="AF27" s="220">
        <v>-11</v>
      </c>
      <c r="AG27" s="52">
        <f>+AH27-AF27</f>
        <v>-1523</v>
      </c>
      <c r="AH27" s="247">
        <f>-656-219-2-657</f>
        <v>-1534</v>
      </c>
      <c r="AJ27" s="225"/>
      <c r="AK27" s="52"/>
      <c r="AL27" s="229"/>
      <c r="AM27" s="52"/>
      <c r="AN27" s="220"/>
      <c r="AO27" s="52"/>
      <c r="AP27" s="247">
        <f>-219-37</f>
        <v>-256</v>
      </c>
      <c r="AR27" s="225"/>
      <c r="AS27" s="52"/>
      <c r="AT27" s="229"/>
      <c r="AU27" s="52"/>
      <c r="AV27" s="220"/>
      <c r="AW27" s="52"/>
      <c r="AX27" s="247">
        <v>-169</v>
      </c>
    </row>
    <row r="28" spans="2:50" ht="12.75">
      <c r="B28" s="172" t="s">
        <v>286</v>
      </c>
      <c r="D28" s="225"/>
      <c r="E28" s="52"/>
      <c r="F28" s="229"/>
      <c r="G28" s="52"/>
      <c r="H28" s="220"/>
      <c r="I28" s="52">
        <f>+J28-H28</f>
        <v>-4</v>
      </c>
      <c r="J28" s="247">
        <v>-4</v>
      </c>
      <c r="L28" s="225"/>
      <c r="M28" s="52"/>
      <c r="N28" s="229"/>
      <c r="O28" s="52"/>
      <c r="P28" s="220"/>
      <c r="Q28" s="52">
        <f>+R28-P28</f>
        <v>-11</v>
      </c>
      <c r="R28" s="247">
        <v>-11</v>
      </c>
      <c r="T28" s="225">
        <v>-2</v>
      </c>
      <c r="U28" s="52">
        <f>+V28-T28</f>
        <v>-7</v>
      </c>
      <c r="V28" s="229">
        <v>-9</v>
      </c>
      <c r="W28" s="52">
        <f>+X28-V28</f>
        <v>-6</v>
      </c>
      <c r="X28" s="220">
        <v>-15</v>
      </c>
      <c r="Y28" s="52">
        <f>+Z28-X28</f>
        <v>4</v>
      </c>
      <c r="Z28" s="247">
        <v>-11</v>
      </c>
      <c r="AB28" s="225">
        <v>-7</v>
      </c>
      <c r="AC28" s="52">
        <f>+AD28-AB28</f>
        <v>-4</v>
      </c>
      <c r="AD28" s="229">
        <v>-11</v>
      </c>
      <c r="AE28" s="52">
        <f>+AF28-AD28</f>
        <v>-11</v>
      </c>
      <c r="AF28" s="220">
        <v>-22</v>
      </c>
      <c r="AG28" s="52">
        <f>+AH28-AF28</f>
        <v>-1</v>
      </c>
      <c r="AH28" s="247">
        <v>-23</v>
      </c>
      <c r="AJ28" s="225">
        <v>0</v>
      </c>
      <c r="AK28" s="52">
        <f t="shared" si="15"/>
        <v>-1</v>
      </c>
      <c r="AL28" s="229">
        <v>-1</v>
      </c>
      <c r="AM28" s="52">
        <f t="shared" si="15"/>
        <v>-5</v>
      </c>
      <c r="AN28" s="220">
        <v>-6</v>
      </c>
      <c r="AO28" s="52">
        <f t="shared" si="1"/>
        <v>-7</v>
      </c>
      <c r="AP28" s="247">
        <v>-13</v>
      </c>
      <c r="AR28" s="225">
        <v>-1</v>
      </c>
      <c r="AS28" s="52">
        <f>+AT28-AR28</f>
        <v>-5</v>
      </c>
      <c r="AT28" s="229">
        <v>-6</v>
      </c>
      <c r="AU28" s="52">
        <f>+AV28-AT28</f>
        <v>0</v>
      </c>
      <c r="AV28" s="220">
        <v>-6</v>
      </c>
      <c r="AW28" s="52">
        <f>+AX28-AV28</f>
        <v>121</v>
      </c>
      <c r="AX28" s="247">
        <v>115</v>
      </c>
    </row>
    <row r="29" spans="2:50" ht="12.75">
      <c r="B29" s="172"/>
      <c r="D29" s="164"/>
      <c r="E29" s="52"/>
      <c r="G29" s="52"/>
      <c r="I29" s="52"/>
      <c r="J29" s="247"/>
      <c r="L29" s="164"/>
      <c r="M29" s="52"/>
      <c r="O29" s="52"/>
      <c r="Q29" s="52"/>
      <c r="R29" s="247"/>
      <c r="T29" s="164"/>
      <c r="U29" s="52"/>
      <c r="W29" s="52"/>
      <c r="Y29" s="52"/>
      <c r="Z29" s="247"/>
      <c r="AB29" s="164"/>
      <c r="AC29" s="52"/>
      <c r="AE29" s="52"/>
      <c r="AG29" s="52"/>
      <c r="AH29" s="247"/>
      <c r="AJ29" s="164"/>
      <c r="AK29" s="52"/>
      <c r="AM29" s="52"/>
      <c r="AO29" s="52"/>
      <c r="AP29" s="247"/>
      <c r="AR29" s="164"/>
      <c r="AS29" s="52"/>
      <c r="AU29" s="52"/>
      <c r="AV29" s="167"/>
      <c r="AW29" s="52"/>
      <c r="AX29" s="247"/>
    </row>
    <row r="30" spans="2:50" s="61" customFormat="1" ht="13.5" customHeight="1">
      <c r="B30" s="138" t="s">
        <v>124</v>
      </c>
      <c r="D30" s="147">
        <f>+SUM(D23:D28)</f>
        <v>-144</v>
      </c>
      <c r="E30" s="59">
        <f aca="true" t="shared" si="16" ref="E30:J30">+SUM(E23:E28)</f>
        <v>495</v>
      </c>
      <c r="F30" s="59">
        <f t="shared" si="16"/>
        <v>351</v>
      </c>
      <c r="G30" s="59">
        <f t="shared" si="16"/>
        <v>48</v>
      </c>
      <c r="H30" s="59">
        <f t="shared" si="16"/>
        <v>399</v>
      </c>
      <c r="I30" s="23">
        <f t="shared" si="16"/>
        <v>-78</v>
      </c>
      <c r="J30" s="128">
        <f t="shared" si="16"/>
        <v>321</v>
      </c>
      <c r="L30" s="147">
        <f>+SUM(L23:L28)</f>
        <v>220</v>
      </c>
      <c r="M30" s="59">
        <f aca="true" t="shared" si="17" ref="M30:R30">+SUM(M23:M28)</f>
        <v>113</v>
      </c>
      <c r="N30" s="59">
        <f t="shared" si="17"/>
        <v>333</v>
      </c>
      <c r="O30" s="59">
        <f t="shared" si="17"/>
        <v>69</v>
      </c>
      <c r="P30" s="59">
        <f t="shared" si="17"/>
        <v>402</v>
      </c>
      <c r="Q30" s="23">
        <f t="shared" si="17"/>
        <v>-110</v>
      </c>
      <c r="R30" s="128">
        <f t="shared" si="17"/>
        <v>292</v>
      </c>
      <c r="T30" s="147">
        <f>+SUM(T23:T28)</f>
        <v>218</v>
      </c>
      <c r="U30" s="59">
        <f aca="true" t="shared" si="18" ref="U30:Z30">+SUM(U23:U28)</f>
        <v>106</v>
      </c>
      <c r="V30" s="59">
        <f t="shared" si="18"/>
        <v>324</v>
      </c>
      <c r="W30" s="59">
        <f t="shared" si="18"/>
        <v>63</v>
      </c>
      <c r="X30" s="59">
        <f t="shared" si="18"/>
        <v>387</v>
      </c>
      <c r="Y30" s="23">
        <f t="shared" si="18"/>
        <v>-95</v>
      </c>
      <c r="Z30" s="128">
        <f t="shared" si="18"/>
        <v>292</v>
      </c>
      <c r="AB30" s="147">
        <f>+SUM(AB23:AB28)</f>
        <v>-119</v>
      </c>
      <c r="AC30" s="59">
        <f aca="true" t="shared" si="19" ref="AC30:AH30">+SUM(AC23:AC28)</f>
        <v>-36</v>
      </c>
      <c r="AD30" s="59">
        <f t="shared" si="19"/>
        <v>-155</v>
      </c>
      <c r="AE30" s="59">
        <f t="shared" si="19"/>
        <v>-2</v>
      </c>
      <c r="AF30" s="59">
        <f t="shared" si="19"/>
        <v>-157</v>
      </c>
      <c r="AG30" s="23">
        <f t="shared" si="19"/>
        <v>-638</v>
      </c>
      <c r="AH30" s="128">
        <f t="shared" si="19"/>
        <v>-795</v>
      </c>
      <c r="AJ30" s="147">
        <f>+SUM(AJ23:AJ28)</f>
        <v>-34</v>
      </c>
      <c r="AK30" s="59">
        <f aca="true" t="shared" si="20" ref="AK30:AP30">+SUM(AK23:AK28)</f>
        <v>55</v>
      </c>
      <c r="AL30" s="59">
        <f t="shared" si="20"/>
        <v>21</v>
      </c>
      <c r="AM30" s="59">
        <f t="shared" si="20"/>
        <v>-31</v>
      </c>
      <c r="AN30" s="59">
        <f t="shared" si="20"/>
        <v>-10</v>
      </c>
      <c r="AO30" s="23">
        <f t="shared" si="20"/>
        <v>6</v>
      </c>
      <c r="AP30" s="128">
        <f t="shared" si="20"/>
        <v>-260</v>
      </c>
      <c r="AR30" s="147">
        <f>+AR23+AR25+AR26+AR28</f>
        <v>8</v>
      </c>
      <c r="AS30" s="59">
        <f aca="true" t="shared" si="21" ref="AS30:AX30">+SUM(AS23:AS28)</f>
        <v>11</v>
      </c>
      <c r="AT30" s="59">
        <f t="shared" si="21"/>
        <v>19</v>
      </c>
      <c r="AU30" s="59">
        <f t="shared" si="21"/>
        <v>65</v>
      </c>
      <c r="AV30" s="275">
        <f t="shared" si="21"/>
        <v>84</v>
      </c>
      <c r="AW30" s="23">
        <f t="shared" si="21"/>
        <v>127</v>
      </c>
      <c r="AX30" s="128">
        <f t="shared" si="21"/>
        <v>42</v>
      </c>
    </row>
    <row r="31" spans="2:50" s="61" customFormat="1" ht="13.5" customHeight="1">
      <c r="B31" s="138"/>
      <c r="D31" s="147"/>
      <c r="E31" s="59"/>
      <c r="F31" s="59"/>
      <c r="G31" s="59"/>
      <c r="H31" s="59"/>
      <c r="I31" s="52"/>
      <c r="J31" s="128"/>
      <c r="L31" s="147"/>
      <c r="M31" s="59"/>
      <c r="N31" s="59"/>
      <c r="O31" s="59"/>
      <c r="P31" s="59"/>
      <c r="Q31" s="52"/>
      <c r="R31" s="128"/>
      <c r="T31" s="147"/>
      <c r="U31" s="59"/>
      <c r="V31" s="59"/>
      <c r="W31" s="59"/>
      <c r="X31" s="59"/>
      <c r="Y31" s="52"/>
      <c r="Z31" s="128"/>
      <c r="AB31" s="147"/>
      <c r="AC31" s="59"/>
      <c r="AD31" s="59"/>
      <c r="AE31" s="59"/>
      <c r="AF31" s="59"/>
      <c r="AG31" s="52"/>
      <c r="AH31" s="128"/>
      <c r="AJ31" s="147"/>
      <c r="AK31" s="59"/>
      <c r="AL31" s="59"/>
      <c r="AM31" s="59"/>
      <c r="AN31" s="59"/>
      <c r="AO31" s="52"/>
      <c r="AP31" s="128"/>
      <c r="AR31" s="147"/>
      <c r="AS31" s="59"/>
      <c r="AT31" s="59"/>
      <c r="AU31" s="59"/>
      <c r="AV31" s="275"/>
      <c r="AW31" s="52"/>
      <c r="AX31" s="128"/>
    </row>
    <row r="32" spans="2:50" s="58" customFormat="1" ht="11.25" customHeight="1">
      <c r="B32" s="136" t="s">
        <v>125</v>
      </c>
      <c r="D32" s="223">
        <v>-4</v>
      </c>
      <c r="E32" s="52">
        <f>+F32-D32</f>
        <v>-35</v>
      </c>
      <c r="F32" s="174">
        <v>-39</v>
      </c>
      <c r="G32" s="19">
        <f>+H32-F32</f>
        <v>-32</v>
      </c>
      <c r="H32" s="222">
        <v>-71</v>
      </c>
      <c r="I32" s="52">
        <f>+J32-H32</f>
        <v>-41</v>
      </c>
      <c r="J32" s="247">
        <v>-112</v>
      </c>
      <c r="L32" s="223">
        <v>-32</v>
      </c>
      <c r="M32" s="52">
        <f>+N32-L32</f>
        <v>-50</v>
      </c>
      <c r="N32" s="174">
        <v>-82</v>
      </c>
      <c r="O32" s="19">
        <f>+P32-N32</f>
        <v>-17</v>
      </c>
      <c r="P32" s="222">
        <v>-99</v>
      </c>
      <c r="Q32" s="52">
        <f>+R32-P32</f>
        <v>8</v>
      </c>
      <c r="R32" s="247">
        <v>-91</v>
      </c>
      <c r="T32" s="223">
        <v>-32</v>
      </c>
      <c r="U32" s="52">
        <f>+V32-T32</f>
        <v>-50</v>
      </c>
      <c r="V32" s="174">
        <v>-82</v>
      </c>
      <c r="W32" s="19">
        <f>+X32-V32</f>
        <v>-17</v>
      </c>
      <c r="X32" s="222">
        <v>-99</v>
      </c>
      <c r="Y32" s="52">
        <f>+Z32-X32</f>
        <v>8</v>
      </c>
      <c r="Z32" s="247">
        <v>-91</v>
      </c>
      <c r="AB32" s="223">
        <v>31</v>
      </c>
      <c r="AC32" s="52">
        <f>+AD32-AB32</f>
        <v>-25</v>
      </c>
      <c r="AD32" s="174">
        <v>6</v>
      </c>
      <c r="AE32" s="19">
        <f>+AF32-AD32</f>
        <v>-28</v>
      </c>
      <c r="AF32" s="222">
        <v>-22</v>
      </c>
      <c r="AG32" s="52">
        <f>+AH32-AF32</f>
        <v>-7</v>
      </c>
      <c r="AH32" s="247">
        <v>-29</v>
      </c>
      <c r="AJ32" s="223">
        <v>-30</v>
      </c>
      <c r="AK32" s="52">
        <f>+AL32-AJ32</f>
        <v>-30</v>
      </c>
      <c r="AL32" s="174">
        <v>-60</v>
      </c>
      <c r="AM32" s="19">
        <f>+AN32-AL32</f>
        <v>-9</v>
      </c>
      <c r="AN32" s="222">
        <v>-69</v>
      </c>
      <c r="AO32" s="52">
        <f t="shared" si="1"/>
        <v>-25</v>
      </c>
      <c r="AP32" s="247">
        <v>-94</v>
      </c>
      <c r="AR32" s="223">
        <v>-13</v>
      </c>
      <c r="AS32" s="52">
        <f>+AT32-AR32</f>
        <v>-20</v>
      </c>
      <c r="AT32" s="174">
        <v>-33</v>
      </c>
      <c r="AU32" s="19">
        <f>+AV32-AT32</f>
        <v>-13</v>
      </c>
      <c r="AV32" s="222">
        <v>-46</v>
      </c>
      <c r="AW32" s="52">
        <f aca="true" t="shared" si="22" ref="AW32:AW41">+AX32-AV32</f>
        <v>-6</v>
      </c>
      <c r="AX32" s="247">
        <v>-52</v>
      </c>
    </row>
    <row r="33" spans="2:50" s="58" customFormat="1" ht="12.75">
      <c r="B33" s="139" t="s">
        <v>126</v>
      </c>
      <c r="D33" s="223">
        <v>2</v>
      </c>
      <c r="E33" s="52">
        <f>+F33-D33</f>
        <v>-1</v>
      </c>
      <c r="F33" s="174">
        <v>1</v>
      </c>
      <c r="G33" s="52">
        <f>+H33-F33</f>
        <v>4</v>
      </c>
      <c r="H33" s="222">
        <v>5</v>
      </c>
      <c r="I33" s="52">
        <f>+J33-H33</f>
        <v>3</v>
      </c>
      <c r="J33" s="247">
        <v>8</v>
      </c>
      <c r="L33" s="223">
        <v>4</v>
      </c>
      <c r="M33" s="52">
        <f>+N33-L33</f>
        <v>3</v>
      </c>
      <c r="N33" s="174">
        <v>7</v>
      </c>
      <c r="O33" s="52">
        <f>+P33-N33</f>
        <v>4</v>
      </c>
      <c r="P33" s="222">
        <v>11</v>
      </c>
      <c r="Q33" s="52">
        <f>+R33-P33</f>
        <v>2</v>
      </c>
      <c r="R33" s="247">
        <v>13</v>
      </c>
      <c r="T33" s="223">
        <v>4</v>
      </c>
      <c r="U33" s="52">
        <f>+V33-T33</f>
        <v>3</v>
      </c>
      <c r="V33" s="174">
        <v>7</v>
      </c>
      <c r="W33" s="52">
        <f>+X33-V33</f>
        <v>4</v>
      </c>
      <c r="X33" s="222">
        <v>11</v>
      </c>
      <c r="Y33" s="52">
        <f>+Z33-X33</f>
        <v>2</v>
      </c>
      <c r="Z33" s="247">
        <v>13</v>
      </c>
      <c r="AB33" s="223">
        <v>-2</v>
      </c>
      <c r="AC33" s="52">
        <f>+AD33-AB33</f>
        <v>-1</v>
      </c>
      <c r="AD33" s="174">
        <v>-3</v>
      </c>
      <c r="AE33" s="52">
        <f>+AF33-AD33</f>
        <v>2</v>
      </c>
      <c r="AF33" s="222">
        <v>-1</v>
      </c>
      <c r="AG33" s="52">
        <f>+AH33-AF33</f>
        <v>-37</v>
      </c>
      <c r="AH33" s="247">
        <v>-38</v>
      </c>
      <c r="AJ33" s="223">
        <v>-3</v>
      </c>
      <c r="AK33" s="52">
        <f>+AL33-AJ33</f>
        <v>6</v>
      </c>
      <c r="AL33" s="174">
        <v>3</v>
      </c>
      <c r="AM33" s="52">
        <f>+AN33-AL33</f>
        <v>4</v>
      </c>
      <c r="AN33" s="222">
        <v>7</v>
      </c>
      <c r="AO33" s="52">
        <f t="shared" si="1"/>
        <v>0</v>
      </c>
      <c r="AP33" s="247">
        <v>7</v>
      </c>
      <c r="AR33" s="223">
        <v>9</v>
      </c>
      <c r="AS33" s="52">
        <f>+AT33-AR33</f>
        <v>-52</v>
      </c>
      <c r="AT33" s="174">
        <v>-43</v>
      </c>
      <c r="AU33" s="52">
        <f>+AV33-AT33</f>
        <v>-1</v>
      </c>
      <c r="AV33" s="222">
        <v>-44</v>
      </c>
      <c r="AW33" s="52">
        <f t="shared" si="22"/>
        <v>13</v>
      </c>
      <c r="AX33" s="247">
        <v>-31</v>
      </c>
    </row>
    <row r="34" spans="2:50" s="58" customFormat="1" ht="12.75">
      <c r="B34" s="139" t="s">
        <v>127</v>
      </c>
      <c r="D34" s="223">
        <v>0</v>
      </c>
      <c r="E34" s="52">
        <f>+F34-D34</f>
        <v>-27</v>
      </c>
      <c r="F34" s="174">
        <v>-27</v>
      </c>
      <c r="G34" s="52">
        <f>+H34-F34</f>
        <v>0</v>
      </c>
      <c r="H34" s="222">
        <v>-27</v>
      </c>
      <c r="I34" s="52">
        <f>+J34-H34</f>
        <v>27</v>
      </c>
      <c r="J34" s="247"/>
      <c r="L34" s="223">
        <v>-2</v>
      </c>
      <c r="M34" s="52">
        <f>+N34-L34</f>
        <v>-7</v>
      </c>
      <c r="N34" s="174">
        <v>-9</v>
      </c>
      <c r="O34" s="52">
        <f>+P34-N34</f>
        <v>-6</v>
      </c>
      <c r="P34" s="222">
        <v>-15</v>
      </c>
      <c r="Q34" s="52">
        <f>+R34-P34</f>
        <v>15</v>
      </c>
      <c r="R34" s="247"/>
      <c r="T34" s="223"/>
      <c r="U34" s="52">
        <f>+V34-T34</f>
        <v>0</v>
      </c>
      <c r="V34" s="174"/>
      <c r="W34" s="52">
        <f>+X34-V34</f>
        <v>0</v>
      </c>
      <c r="X34" s="222"/>
      <c r="Y34" s="52">
        <f>+Z34-X34</f>
        <v>0</v>
      </c>
      <c r="Z34" s="247"/>
      <c r="AB34" s="223"/>
      <c r="AC34" s="52">
        <f>+AD34-AB34</f>
        <v>0</v>
      </c>
      <c r="AD34" s="174"/>
      <c r="AE34" s="52">
        <f>+AF34-AD34</f>
        <v>0</v>
      </c>
      <c r="AF34" s="222"/>
      <c r="AG34" s="52">
        <f>+AH34-AF34</f>
        <v>0</v>
      </c>
      <c r="AH34" s="247"/>
      <c r="AJ34" s="223">
        <v>0</v>
      </c>
      <c r="AK34" s="52">
        <f>+AL34-AJ34</f>
        <v>0</v>
      </c>
      <c r="AL34" s="174">
        <v>0</v>
      </c>
      <c r="AM34" s="52">
        <f>+AN34-AL34</f>
        <v>0</v>
      </c>
      <c r="AN34" s="222">
        <v>0</v>
      </c>
      <c r="AO34" s="52">
        <f t="shared" si="1"/>
        <v>0</v>
      </c>
      <c r="AP34" s="247">
        <v>0</v>
      </c>
      <c r="AR34" s="223">
        <v>0</v>
      </c>
      <c r="AS34" s="52">
        <f>+AT34-AR34</f>
        <v>0</v>
      </c>
      <c r="AT34" s="174">
        <v>0</v>
      </c>
      <c r="AU34" s="52">
        <f>+AV34-AT34</f>
        <v>0</v>
      </c>
      <c r="AV34" s="222">
        <v>0</v>
      </c>
      <c r="AW34" s="52">
        <f t="shared" si="22"/>
        <v>0</v>
      </c>
      <c r="AX34" s="247">
        <v>0</v>
      </c>
    </row>
    <row r="35" spans="2:50" s="61" customFormat="1" ht="13.5" customHeight="1">
      <c r="B35" s="138" t="s">
        <v>128</v>
      </c>
      <c r="D35" s="147">
        <f aca="true" t="shared" si="23" ref="D35:J35">+D30+D32+D33+D34</f>
        <v>-146</v>
      </c>
      <c r="E35" s="59">
        <f t="shared" si="23"/>
        <v>432</v>
      </c>
      <c r="F35" s="59">
        <f t="shared" si="23"/>
        <v>286</v>
      </c>
      <c r="G35" s="59">
        <f t="shared" si="23"/>
        <v>20</v>
      </c>
      <c r="H35" s="59">
        <f t="shared" si="23"/>
        <v>306</v>
      </c>
      <c r="I35" s="23">
        <f t="shared" si="23"/>
        <v>-89</v>
      </c>
      <c r="J35" s="129">
        <f t="shared" si="23"/>
        <v>217</v>
      </c>
      <c r="L35" s="147">
        <f aca="true" t="shared" si="24" ref="L35:R35">+L30+L32+L33+L34</f>
        <v>190</v>
      </c>
      <c r="M35" s="59">
        <f t="shared" si="24"/>
        <v>59</v>
      </c>
      <c r="N35" s="59">
        <f t="shared" si="24"/>
        <v>249</v>
      </c>
      <c r="O35" s="59">
        <f t="shared" si="24"/>
        <v>50</v>
      </c>
      <c r="P35" s="59">
        <f t="shared" si="24"/>
        <v>299</v>
      </c>
      <c r="Q35" s="23">
        <f t="shared" si="24"/>
        <v>-85</v>
      </c>
      <c r="R35" s="129">
        <f t="shared" si="24"/>
        <v>214</v>
      </c>
      <c r="T35" s="147">
        <f aca="true" t="shared" si="25" ref="T35:Z35">+T30+T32+T33+T34</f>
        <v>190</v>
      </c>
      <c r="U35" s="59">
        <f t="shared" si="25"/>
        <v>59</v>
      </c>
      <c r="V35" s="59">
        <f t="shared" si="25"/>
        <v>249</v>
      </c>
      <c r="W35" s="59">
        <f t="shared" si="25"/>
        <v>50</v>
      </c>
      <c r="X35" s="59">
        <f t="shared" si="25"/>
        <v>299</v>
      </c>
      <c r="Y35" s="23">
        <f t="shared" si="25"/>
        <v>-85</v>
      </c>
      <c r="Z35" s="129">
        <f t="shared" si="25"/>
        <v>214</v>
      </c>
      <c r="AB35" s="147">
        <f aca="true" t="shared" si="26" ref="AB35:AH35">+AB30+AB32+AB33+AB34</f>
        <v>-90</v>
      </c>
      <c r="AC35" s="59">
        <f t="shared" si="26"/>
        <v>-62</v>
      </c>
      <c r="AD35" s="59">
        <f t="shared" si="26"/>
        <v>-152</v>
      </c>
      <c r="AE35" s="59">
        <f t="shared" si="26"/>
        <v>-28</v>
      </c>
      <c r="AF35" s="59">
        <f t="shared" si="26"/>
        <v>-180</v>
      </c>
      <c r="AG35" s="23">
        <f t="shared" si="26"/>
        <v>-682</v>
      </c>
      <c r="AH35" s="129">
        <f t="shared" si="26"/>
        <v>-862</v>
      </c>
      <c r="AJ35" s="147">
        <f>+AJ30+AJ32+AJ33+AJ34</f>
        <v>-67</v>
      </c>
      <c r="AK35" s="59">
        <f>+AK30+AK32+AK33+AK34</f>
        <v>31</v>
      </c>
      <c r="AL35" s="59">
        <f>+AL30+AL32+AL33+AL34</f>
        <v>-36</v>
      </c>
      <c r="AM35" s="59">
        <f>+AM30+AM32+AM33+AM34</f>
        <v>-36</v>
      </c>
      <c r="AN35" s="59">
        <f>SUM(AN30:AN34)</f>
        <v>-72</v>
      </c>
      <c r="AO35" s="23">
        <f t="shared" si="1"/>
        <v>-275</v>
      </c>
      <c r="AP35" s="129">
        <f>+AP30+AP32+AP33+AP34</f>
        <v>-347</v>
      </c>
      <c r="AR35" s="147">
        <f>+AR30+AR32+AR33+AR34</f>
        <v>4</v>
      </c>
      <c r="AS35" s="59">
        <f>+AS30+AS32+AS33+AS34</f>
        <v>-61</v>
      </c>
      <c r="AT35" s="59">
        <f>+AT30+AT32+AT33+AT34</f>
        <v>-57</v>
      </c>
      <c r="AU35" s="59">
        <f>+AU30+AU32+AU33+AU34</f>
        <v>51</v>
      </c>
      <c r="AV35" s="275">
        <f>SUM(AV30:AV34)</f>
        <v>-6</v>
      </c>
      <c r="AW35" s="23">
        <f t="shared" si="22"/>
        <v>-35</v>
      </c>
      <c r="AX35" s="129">
        <f>+AX30+AX32+AX33+AX34</f>
        <v>-41</v>
      </c>
    </row>
    <row r="36" spans="1:50" s="66" customFormat="1" ht="16.5" customHeight="1">
      <c r="A36" s="64"/>
      <c r="B36" s="140" t="s">
        <v>129</v>
      </c>
      <c r="D36" s="226">
        <v>3</v>
      </c>
      <c r="E36" s="52">
        <f>+F36-D36</f>
        <v>-144</v>
      </c>
      <c r="F36" s="231">
        <v>-141</v>
      </c>
      <c r="G36" s="52">
        <f>+H36-F36</f>
        <v>9</v>
      </c>
      <c r="H36" s="222">
        <v>-132</v>
      </c>
      <c r="I36" s="52">
        <f>+J36-H36</f>
        <v>13</v>
      </c>
      <c r="J36" s="247">
        <v>-119</v>
      </c>
      <c r="L36" s="226">
        <v>-88</v>
      </c>
      <c r="M36" s="52">
        <f>+N36-L36</f>
        <v>-37</v>
      </c>
      <c r="N36" s="231">
        <v>-125</v>
      </c>
      <c r="O36" s="52">
        <f>+P36-N36</f>
        <v>19</v>
      </c>
      <c r="P36" s="222">
        <v>-106</v>
      </c>
      <c r="Q36" s="52">
        <f>+R36-P36</f>
        <v>-53</v>
      </c>
      <c r="R36" s="247">
        <v>-159</v>
      </c>
      <c r="T36" s="226">
        <v>-88</v>
      </c>
      <c r="U36" s="52">
        <f>+V36-T36</f>
        <v>-37</v>
      </c>
      <c r="V36" s="231">
        <v>-125</v>
      </c>
      <c r="W36" s="52">
        <f>+X36-V36</f>
        <v>19</v>
      </c>
      <c r="X36" s="222">
        <v>-106</v>
      </c>
      <c r="Y36" s="52">
        <f>+Z36-X36</f>
        <v>-53</v>
      </c>
      <c r="Z36" s="247">
        <v>-159</v>
      </c>
      <c r="AB36" s="226">
        <v>-52</v>
      </c>
      <c r="AC36" s="52">
        <f>+AD36-AB36</f>
        <v>12</v>
      </c>
      <c r="AD36" s="231">
        <v>-40</v>
      </c>
      <c r="AE36" s="52">
        <f>+AF36-AD36</f>
        <v>12</v>
      </c>
      <c r="AF36" s="222">
        <v>-28</v>
      </c>
      <c r="AG36" s="52">
        <f>+AH36-AF36</f>
        <v>-69</v>
      </c>
      <c r="AH36" s="247">
        <v>-97</v>
      </c>
      <c r="AJ36" s="226">
        <v>-4</v>
      </c>
      <c r="AK36" s="52">
        <f>+AL36-AJ36</f>
        <v>-16</v>
      </c>
      <c r="AL36" s="231">
        <v>-20</v>
      </c>
      <c r="AM36" s="52">
        <f>+AN36-AL36</f>
        <v>-1</v>
      </c>
      <c r="AN36" s="222">
        <v>-21</v>
      </c>
      <c r="AO36" s="52">
        <f t="shared" si="1"/>
        <v>-4</v>
      </c>
      <c r="AP36" s="247">
        <v>-25</v>
      </c>
      <c r="AR36" s="226">
        <v>-18</v>
      </c>
      <c r="AS36" s="52">
        <f>+AT36-AR36</f>
        <v>-59</v>
      </c>
      <c r="AT36" s="231">
        <v>-77</v>
      </c>
      <c r="AU36" s="52">
        <f>+AV36-AT36</f>
        <v>-17</v>
      </c>
      <c r="AV36" s="222">
        <v>-94</v>
      </c>
      <c r="AW36" s="52">
        <f t="shared" si="22"/>
        <v>-28</v>
      </c>
      <c r="AX36" s="247">
        <v>-122</v>
      </c>
    </row>
    <row r="37" spans="1:50" s="64" customFormat="1" ht="16.5" customHeight="1">
      <c r="A37" s="66"/>
      <c r="B37" s="141" t="s">
        <v>157</v>
      </c>
      <c r="D37" s="148">
        <f aca="true" t="shared" si="27" ref="D37:J37">+D35+D36</f>
        <v>-143</v>
      </c>
      <c r="E37" s="63">
        <f t="shared" si="27"/>
        <v>288</v>
      </c>
      <c r="F37" s="63">
        <f t="shared" si="27"/>
        <v>145</v>
      </c>
      <c r="G37" s="63">
        <f t="shared" si="27"/>
        <v>29</v>
      </c>
      <c r="H37" s="63">
        <f t="shared" si="27"/>
        <v>174</v>
      </c>
      <c r="I37" s="23">
        <f t="shared" si="27"/>
        <v>-76</v>
      </c>
      <c r="J37" s="130">
        <f t="shared" si="27"/>
        <v>98</v>
      </c>
      <c r="L37" s="148">
        <f aca="true" t="shared" si="28" ref="L37:R37">+L35+L36</f>
        <v>102</v>
      </c>
      <c r="M37" s="63">
        <f t="shared" si="28"/>
        <v>22</v>
      </c>
      <c r="N37" s="63">
        <f t="shared" si="28"/>
        <v>124</v>
      </c>
      <c r="O37" s="63">
        <f t="shared" si="28"/>
        <v>69</v>
      </c>
      <c r="P37" s="63">
        <f t="shared" si="28"/>
        <v>193</v>
      </c>
      <c r="Q37" s="23">
        <f t="shared" si="28"/>
        <v>-138</v>
      </c>
      <c r="R37" s="130">
        <f t="shared" si="28"/>
        <v>55</v>
      </c>
      <c r="T37" s="148">
        <f aca="true" t="shared" si="29" ref="T37:Z37">+T35+T36</f>
        <v>102</v>
      </c>
      <c r="U37" s="63">
        <f t="shared" si="29"/>
        <v>22</v>
      </c>
      <c r="V37" s="63">
        <f t="shared" si="29"/>
        <v>124</v>
      </c>
      <c r="W37" s="63">
        <f t="shared" si="29"/>
        <v>69</v>
      </c>
      <c r="X37" s="63">
        <f t="shared" si="29"/>
        <v>193</v>
      </c>
      <c r="Y37" s="23">
        <f t="shared" si="29"/>
        <v>-138</v>
      </c>
      <c r="Z37" s="130">
        <f t="shared" si="29"/>
        <v>55</v>
      </c>
      <c r="AB37" s="148">
        <f aca="true" t="shared" si="30" ref="AB37:AH37">+AB35+AB36</f>
        <v>-142</v>
      </c>
      <c r="AC37" s="63">
        <f t="shared" si="30"/>
        <v>-50</v>
      </c>
      <c r="AD37" s="63">
        <f t="shared" si="30"/>
        <v>-192</v>
      </c>
      <c r="AE37" s="63">
        <f t="shared" si="30"/>
        <v>-16</v>
      </c>
      <c r="AF37" s="63">
        <f t="shared" si="30"/>
        <v>-208</v>
      </c>
      <c r="AG37" s="23">
        <f t="shared" si="30"/>
        <v>-751</v>
      </c>
      <c r="AH37" s="130">
        <f t="shared" si="30"/>
        <v>-959</v>
      </c>
      <c r="AJ37" s="148">
        <f>+AJ35+AJ36</f>
        <v>-71</v>
      </c>
      <c r="AK37" s="63">
        <f>+AK35+AK36</f>
        <v>15</v>
      </c>
      <c r="AL37" s="63">
        <f>+AL35+AL36</f>
        <v>-56</v>
      </c>
      <c r="AM37" s="63">
        <f>+AM35+AM36</f>
        <v>-37</v>
      </c>
      <c r="AN37" s="63">
        <f>SUM(AN35:AN36)</f>
        <v>-93</v>
      </c>
      <c r="AO37" s="23">
        <f t="shared" si="1"/>
        <v>-279</v>
      </c>
      <c r="AP37" s="130">
        <f>+AP35+AP36</f>
        <v>-372</v>
      </c>
      <c r="AR37" s="148">
        <f>+AR35+AR36</f>
        <v>-14</v>
      </c>
      <c r="AS37" s="63">
        <f>+AS35+AS36</f>
        <v>-120</v>
      </c>
      <c r="AT37" s="63">
        <f>+AT35+AT36</f>
        <v>-134</v>
      </c>
      <c r="AU37" s="63">
        <f>+AU35+AU36</f>
        <v>34</v>
      </c>
      <c r="AV37" s="309">
        <f>SUM(AV35:AV36)</f>
        <v>-100</v>
      </c>
      <c r="AW37" s="23">
        <f t="shared" si="22"/>
        <v>-63</v>
      </c>
      <c r="AX37" s="130">
        <f>+AX35+AX36</f>
        <v>-163</v>
      </c>
    </row>
    <row r="38" spans="1:50" s="66" customFormat="1" ht="16.5" customHeight="1">
      <c r="A38" s="64"/>
      <c r="B38" s="140" t="s">
        <v>145</v>
      </c>
      <c r="D38" s="227">
        <v>0</v>
      </c>
      <c r="E38" s="52">
        <f>+F38-D38</f>
        <v>0</v>
      </c>
      <c r="F38" s="176">
        <v>0</v>
      </c>
      <c r="G38" s="52">
        <f>+H38-F38</f>
        <v>0</v>
      </c>
      <c r="H38" s="176">
        <v>0</v>
      </c>
      <c r="I38" s="52">
        <f>+J38-H38</f>
        <v>0</v>
      </c>
      <c r="J38" s="247">
        <v>0</v>
      </c>
      <c r="L38" s="227">
        <v>0</v>
      </c>
      <c r="M38" s="52">
        <f>+N38-L38</f>
        <v>0</v>
      </c>
      <c r="N38" s="176">
        <v>0</v>
      </c>
      <c r="O38" s="52">
        <f>+P38-N38</f>
        <v>0</v>
      </c>
      <c r="P38" s="176">
        <v>0</v>
      </c>
      <c r="Q38" s="52">
        <f>+R38-P38</f>
        <v>0</v>
      </c>
      <c r="R38" s="247">
        <v>0</v>
      </c>
      <c r="T38" s="227">
        <v>0</v>
      </c>
      <c r="U38" s="52">
        <f>+V38-T38</f>
        <v>0</v>
      </c>
      <c r="V38" s="176">
        <v>0</v>
      </c>
      <c r="W38" s="52">
        <f>+X38-V38</f>
        <v>0</v>
      </c>
      <c r="X38" s="176">
        <v>0</v>
      </c>
      <c r="Y38" s="52">
        <f>+Z38-X38</f>
        <v>0</v>
      </c>
      <c r="Z38" s="247">
        <v>0</v>
      </c>
      <c r="AB38" s="227">
        <v>0</v>
      </c>
      <c r="AC38" s="52">
        <f>+AD38-AB38</f>
        <v>0</v>
      </c>
      <c r="AD38" s="176">
        <v>0</v>
      </c>
      <c r="AE38" s="52">
        <f>+AF38-AD38</f>
        <v>0</v>
      </c>
      <c r="AF38" s="176">
        <v>0</v>
      </c>
      <c r="AG38" s="52">
        <f>+AH38-AF38</f>
        <v>0</v>
      </c>
      <c r="AH38" s="247">
        <v>0</v>
      </c>
      <c r="AJ38" s="227">
        <v>0</v>
      </c>
      <c r="AK38" s="52">
        <f>+AL38-AJ38</f>
        <v>0</v>
      </c>
      <c r="AL38" s="176">
        <v>0</v>
      </c>
      <c r="AM38" s="52">
        <f>+AN38-AL38</f>
        <v>0</v>
      </c>
      <c r="AN38" s="176">
        <v>0</v>
      </c>
      <c r="AO38" s="52">
        <f t="shared" si="1"/>
        <v>0</v>
      </c>
      <c r="AP38" s="247">
        <v>0</v>
      </c>
      <c r="AR38" s="227">
        <v>0</v>
      </c>
      <c r="AS38" s="52">
        <f>+AT38-AR38</f>
        <v>0</v>
      </c>
      <c r="AT38" s="176">
        <v>0</v>
      </c>
      <c r="AU38" s="52">
        <f>+AV38-AT38</f>
        <v>0</v>
      </c>
      <c r="AV38" s="176">
        <v>0</v>
      </c>
      <c r="AW38" s="52">
        <f t="shared" si="22"/>
        <v>0</v>
      </c>
      <c r="AX38" s="247">
        <v>0</v>
      </c>
    </row>
    <row r="39" spans="1:50" s="64" customFormat="1" ht="16.5" customHeight="1">
      <c r="A39" s="66"/>
      <c r="B39" s="141" t="s">
        <v>156</v>
      </c>
      <c r="D39" s="148">
        <f aca="true" t="shared" si="31" ref="D39:J39">+D37+D38</f>
        <v>-143</v>
      </c>
      <c r="E39" s="63">
        <f t="shared" si="31"/>
        <v>288</v>
      </c>
      <c r="F39" s="63">
        <f t="shared" si="31"/>
        <v>145</v>
      </c>
      <c r="G39" s="63">
        <f t="shared" si="31"/>
        <v>29</v>
      </c>
      <c r="H39" s="63">
        <f t="shared" si="31"/>
        <v>174</v>
      </c>
      <c r="I39" s="23">
        <f t="shared" si="31"/>
        <v>-76</v>
      </c>
      <c r="J39" s="130">
        <f t="shared" si="31"/>
        <v>98</v>
      </c>
      <c r="L39" s="148">
        <f aca="true" t="shared" si="32" ref="L39:R39">+L37+L38</f>
        <v>102</v>
      </c>
      <c r="M39" s="63">
        <f t="shared" si="32"/>
        <v>22</v>
      </c>
      <c r="N39" s="63">
        <f t="shared" si="32"/>
        <v>124</v>
      </c>
      <c r="O39" s="63">
        <f t="shared" si="32"/>
        <v>69</v>
      </c>
      <c r="P39" s="63">
        <f t="shared" si="32"/>
        <v>193</v>
      </c>
      <c r="Q39" s="23">
        <f t="shared" si="32"/>
        <v>-138</v>
      </c>
      <c r="R39" s="130">
        <f t="shared" si="32"/>
        <v>55</v>
      </c>
      <c r="T39" s="148">
        <f aca="true" t="shared" si="33" ref="T39:Z39">+T37+T38</f>
        <v>102</v>
      </c>
      <c r="U39" s="63">
        <f t="shared" si="33"/>
        <v>22</v>
      </c>
      <c r="V39" s="63">
        <f t="shared" si="33"/>
        <v>124</v>
      </c>
      <c r="W39" s="63">
        <f t="shared" si="33"/>
        <v>69</v>
      </c>
      <c r="X39" s="63">
        <f t="shared" si="33"/>
        <v>193</v>
      </c>
      <c r="Y39" s="23">
        <f t="shared" si="33"/>
        <v>-138</v>
      </c>
      <c r="Z39" s="130">
        <f t="shared" si="33"/>
        <v>55</v>
      </c>
      <c r="AB39" s="148">
        <f aca="true" t="shared" si="34" ref="AB39:AH39">+AB37+AB38</f>
        <v>-142</v>
      </c>
      <c r="AC39" s="63">
        <f t="shared" si="34"/>
        <v>-50</v>
      </c>
      <c r="AD39" s="63">
        <f t="shared" si="34"/>
        <v>-192</v>
      </c>
      <c r="AE39" s="63">
        <f t="shared" si="34"/>
        <v>-16</v>
      </c>
      <c r="AF39" s="63">
        <f t="shared" si="34"/>
        <v>-208</v>
      </c>
      <c r="AG39" s="23">
        <f t="shared" si="34"/>
        <v>-751</v>
      </c>
      <c r="AH39" s="130">
        <f t="shared" si="34"/>
        <v>-959</v>
      </c>
      <c r="AJ39" s="148">
        <f>+AJ37+AJ38</f>
        <v>-71</v>
      </c>
      <c r="AK39" s="63">
        <f>+AK37+AK38</f>
        <v>15</v>
      </c>
      <c r="AL39" s="63">
        <f>+AL37+AL38</f>
        <v>-56</v>
      </c>
      <c r="AM39" s="63">
        <f>+AM37+AM38</f>
        <v>-37</v>
      </c>
      <c r="AN39" s="63">
        <f>SUM(AN37:AN38)</f>
        <v>-93</v>
      </c>
      <c r="AO39" s="23">
        <f t="shared" si="1"/>
        <v>-279</v>
      </c>
      <c r="AP39" s="130">
        <f>+AP37+AP38</f>
        <v>-372</v>
      </c>
      <c r="AR39" s="148">
        <f>+AR37+AR38</f>
        <v>-14</v>
      </c>
      <c r="AS39" s="63">
        <f>+AS37+AS38</f>
        <v>-120</v>
      </c>
      <c r="AT39" s="63">
        <f>+AT37+AT38</f>
        <v>-134</v>
      </c>
      <c r="AU39" s="63">
        <f>+AU37+AU38</f>
        <v>34</v>
      </c>
      <c r="AV39" s="309">
        <f>SUM(AV37:AV38)</f>
        <v>-100</v>
      </c>
      <c r="AW39" s="23">
        <f t="shared" si="22"/>
        <v>-63</v>
      </c>
      <c r="AX39" s="130">
        <f>+AX37+AX38</f>
        <v>-163</v>
      </c>
    </row>
    <row r="40" spans="1:50" s="58" customFormat="1" ht="12.75">
      <c r="A40" s="64"/>
      <c r="B40" s="136" t="s">
        <v>130</v>
      </c>
      <c r="D40" s="228">
        <v>1</v>
      </c>
      <c r="E40" s="52">
        <f>+F40-D40</f>
        <v>6</v>
      </c>
      <c r="F40" s="174">
        <v>7</v>
      </c>
      <c r="G40" s="52">
        <f>+H40-F40</f>
        <v>-7</v>
      </c>
      <c r="H40" s="174">
        <v>0</v>
      </c>
      <c r="I40" s="52">
        <f>+J40-H40</f>
        <v>-2</v>
      </c>
      <c r="J40" s="247">
        <v>-2</v>
      </c>
      <c r="L40" s="228">
        <v>-1</v>
      </c>
      <c r="M40" s="52">
        <f>+N40-L40</f>
        <v>-7</v>
      </c>
      <c r="N40" s="174">
        <v>-8</v>
      </c>
      <c r="O40" s="52">
        <f>+P40-N40</f>
        <v>-8</v>
      </c>
      <c r="P40" s="174">
        <v>-16</v>
      </c>
      <c r="Q40" s="52">
        <f>+R40-P40</f>
        <v>1</v>
      </c>
      <c r="R40" s="247">
        <v>-15</v>
      </c>
      <c r="T40" s="228">
        <v>-1</v>
      </c>
      <c r="U40" s="52">
        <f>+V40-T40</f>
        <v>-7</v>
      </c>
      <c r="V40" s="174">
        <v>-8</v>
      </c>
      <c r="W40" s="52">
        <f>+X40-V40</f>
        <v>-8</v>
      </c>
      <c r="X40" s="174">
        <v>-16</v>
      </c>
      <c r="Y40" s="52">
        <f>+Z40-X40</f>
        <v>1</v>
      </c>
      <c r="Z40" s="247">
        <v>-15</v>
      </c>
      <c r="AB40" s="228">
        <v>-11</v>
      </c>
      <c r="AC40" s="52">
        <f>+AD40-AB40</f>
        <v>-4</v>
      </c>
      <c r="AD40" s="174">
        <v>-15</v>
      </c>
      <c r="AE40" s="52">
        <f>+AF40-AD40</f>
        <v>-8</v>
      </c>
      <c r="AF40" s="174">
        <v>-23</v>
      </c>
      <c r="AG40" s="52">
        <f>+AH40-AF40</f>
        <v>2</v>
      </c>
      <c r="AH40" s="247">
        <v>-21</v>
      </c>
      <c r="AJ40" s="228">
        <v>-5</v>
      </c>
      <c r="AK40" s="52">
        <f>+AL40-AJ40</f>
        <v>-6</v>
      </c>
      <c r="AL40" s="174">
        <v>-11</v>
      </c>
      <c r="AM40" s="52">
        <f>+AN40-AL40</f>
        <v>-3</v>
      </c>
      <c r="AN40" s="174">
        <v>-14</v>
      </c>
      <c r="AO40" s="52">
        <f t="shared" si="1"/>
        <v>-3</v>
      </c>
      <c r="AP40" s="247">
        <v>-17</v>
      </c>
      <c r="AR40" s="228">
        <v>-5</v>
      </c>
      <c r="AS40" s="52">
        <f>+AT40-AR40</f>
        <v>-1</v>
      </c>
      <c r="AT40" s="174">
        <v>-6</v>
      </c>
      <c r="AU40" s="52">
        <f>+AV40-AT40</f>
        <v>-4</v>
      </c>
      <c r="AV40" s="174">
        <v>-10</v>
      </c>
      <c r="AW40" s="52">
        <f t="shared" si="22"/>
        <v>-3</v>
      </c>
      <c r="AX40" s="247">
        <v>-13</v>
      </c>
    </row>
    <row r="41" spans="1:50" s="61" customFormat="1" ht="16.5" customHeight="1">
      <c r="A41" s="66"/>
      <c r="B41" s="142" t="s">
        <v>131</v>
      </c>
      <c r="D41" s="152">
        <f aca="true" t="shared" si="35" ref="D41:J41">+D39+D40</f>
        <v>-142</v>
      </c>
      <c r="E41" s="150">
        <f t="shared" si="35"/>
        <v>294</v>
      </c>
      <c r="F41" s="150">
        <f t="shared" si="35"/>
        <v>152</v>
      </c>
      <c r="G41" s="150">
        <f t="shared" si="35"/>
        <v>22</v>
      </c>
      <c r="H41" s="150">
        <f t="shared" si="35"/>
        <v>174</v>
      </c>
      <c r="I41" s="282">
        <f t="shared" si="35"/>
        <v>-78</v>
      </c>
      <c r="J41" s="131">
        <f t="shared" si="35"/>
        <v>96</v>
      </c>
      <c r="L41" s="152">
        <f aca="true" t="shared" si="36" ref="L41:R41">+L39+L40</f>
        <v>101</v>
      </c>
      <c r="M41" s="150">
        <f t="shared" si="36"/>
        <v>15</v>
      </c>
      <c r="N41" s="150">
        <f t="shared" si="36"/>
        <v>116</v>
      </c>
      <c r="O41" s="150">
        <f t="shared" si="36"/>
        <v>61</v>
      </c>
      <c r="P41" s="150">
        <f t="shared" si="36"/>
        <v>177</v>
      </c>
      <c r="Q41" s="282">
        <f t="shared" si="36"/>
        <v>-137</v>
      </c>
      <c r="R41" s="131">
        <f t="shared" si="36"/>
        <v>40</v>
      </c>
      <c r="T41" s="152">
        <f aca="true" t="shared" si="37" ref="T41:Z41">+T39+T40</f>
        <v>101</v>
      </c>
      <c r="U41" s="150">
        <f t="shared" si="37"/>
        <v>15</v>
      </c>
      <c r="V41" s="150">
        <f t="shared" si="37"/>
        <v>116</v>
      </c>
      <c r="W41" s="150">
        <f t="shared" si="37"/>
        <v>61</v>
      </c>
      <c r="X41" s="150">
        <f t="shared" si="37"/>
        <v>177</v>
      </c>
      <c r="Y41" s="282">
        <f t="shared" si="37"/>
        <v>-137</v>
      </c>
      <c r="Z41" s="131">
        <f t="shared" si="37"/>
        <v>40</v>
      </c>
      <c r="AB41" s="152">
        <f aca="true" t="shared" si="38" ref="AB41:AH41">+AB39+AB40</f>
        <v>-153</v>
      </c>
      <c r="AC41" s="150">
        <f t="shared" si="38"/>
        <v>-54</v>
      </c>
      <c r="AD41" s="150">
        <f t="shared" si="38"/>
        <v>-207</v>
      </c>
      <c r="AE41" s="150">
        <f t="shared" si="38"/>
        <v>-24</v>
      </c>
      <c r="AF41" s="150">
        <f t="shared" si="38"/>
        <v>-231</v>
      </c>
      <c r="AG41" s="282">
        <f t="shared" si="38"/>
        <v>-749</v>
      </c>
      <c r="AH41" s="131">
        <f t="shared" si="38"/>
        <v>-980</v>
      </c>
      <c r="AJ41" s="152">
        <f>+AJ39+AJ40</f>
        <v>-76</v>
      </c>
      <c r="AK41" s="150">
        <f>+AK39+AK40</f>
        <v>9</v>
      </c>
      <c r="AL41" s="150">
        <f>+AL39+AL40</f>
        <v>-67</v>
      </c>
      <c r="AM41" s="150">
        <f>+AM39+AM40</f>
        <v>-40</v>
      </c>
      <c r="AN41" s="150">
        <f>SUM(AN39:AN40)</f>
        <v>-107</v>
      </c>
      <c r="AO41" s="282">
        <f t="shared" si="1"/>
        <v>-282</v>
      </c>
      <c r="AP41" s="131">
        <f>+AP39+AP40</f>
        <v>-389</v>
      </c>
      <c r="AR41" s="152">
        <f>+AR39+AR40</f>
        <v>-19</v>
      </c>
      <c r="AS41" s="150">
        <f>+AS39+AS40</f>
        <v>-121</v>
      </c>
      <c r="AT41" s="150">
        <f>+AT39+AT40</f>
        <v>-140</v>
      </c>
      <c r="AU41" s="150">
        <f>+AU39+AU40</f>
        <v>30</v>
      </c>
      <c r="AV41" s="683">
        <f>SUM(AV39:AV40)</f>
        <v>-110</v>
      </c>
      <c r="AW41" s="282">
        <f t="shared" si="22"/>
        <v>-66</v>
      </c>
      <c r="AX41" s="131">
        <f>+AX39+AX40</f>
        <v>-176</v>
      </c>
    </row>
    <row r="42" spans="2:48" ht="12.75">
      <c r="B42" s="127"/>
      <c r="I42" s="57"/>
      <c r="AV42" s="167"/>
    </row>
    <row r="43" spans="2:48" ht="12.75">
      <c r="B43" s="48"/>
      <c r="I43" s="57"/>
      <c r="AV43" s="167"/>
    </row>
    <row r="44" spans="2:50" s="51" customFormat="1" ht="17.25" customHeight="1">
      <c r="B44" s="132" t="s">
        <v>215</v>
      </c>
      <c r="D44" s="380" t="s">
        <v>228</v>
      </c>
      <c r="E44" s="381" t="s">
        <v>229</v>
      </c>
      <c r="F44" s="381" t="s">
        <v>230</v>
      </c>
      <c r="G44" s="381" t="s">
        <v>231</v>
      </c>
      <c r="H44" s="381" t="s">
        <v>232</v>
      </c>
      <c r="I44" s="381" t="s">
        <v>233</v>
      </c>
      <c r="J44" s="382" t="s">
        <v>234</v>
      </c>
      <c r="L44" s="380" t="s">
        <v>243</v>
      </c>
      <c r="M44" s="381" t="s">
        <v>244</v>
      </c>
      <c r="N44" s="381" t="s">
        <v>245</v>
      </c>
      <c r="O44" s="381" t="s">
        <v>246</v>
      </c>
      <c r="P44" s="381" t="s">
        <v>247</v>
      </c>
      <c r="Q44" s="381" t="s">
        <v>248</v>
      </c>
      <c r="R44" s="382" t="s">
        <v>249</v>
      </c>
      <c r="T44" s="380" t="str">
        <f aca="true" t="shared" si="39" ref="T44:Z44">+T4</f>
        <v>IQ 2014</v>
      </c>
      <c r="U44" s="381" t="str">
        <f t="shared" si="39"/>
        <v>IIQ 2014</v>
      </c>
      <c r="V44" s="381" t="str">
        <f t="shared" si="39"/>
        <v>IH 2014</v>
      </c>
      <c r="W44" s="381" t="str">
        <f t="shared" si="39"/>
        <v>III Q 2014</v>
      </c>
      <c r="X44" s="381" t="str">
        <f t="shared" si="39"/>
        <v>9M 2014</v>
      </c>
      <c r="Y44" s="381" t="str">
        <f t="shared" si="39"/>
        <v>IV Q 2014</v>
      </c>
      <c r="Z44" s="382" t="str">
        <f t="shared" si="39"/>
        <v>FY 2014</v>
      </c>
      <c r="AB44" s="380" t="str">
        <f aca="true" t="shared" si="40" ref="AB44:AH44">+AB4</f>
        <v>IQ 2015</v>
      </c>
      <c r="AC44" s="381" t="str">
        <f t="shared" si="40"/>
        <v>IIQ 2015</v>
      </c>
      <c r="AD44" s="381" t="str">
        <f t="shared" si="40"/>
        <v>IH 2015</v>
      </c>
      <c r="AE44" s="381" t="str">
        <f t="shared" si="40"/>
        <v>III Q 2015</v>
      </c>
      <c r="AF44" s="381" t="str">
        <f t="shared" si="40"/>
        <v>9M 2015</v>
      </c>
      <c r="AG44" s="381" t="str">
        <f t="shared" si="40"/>
        <v>IV Q 2015</v>
      </c>
      <c r="AH44" s="382" t="str">
        <f t="shared" si="40"/>
        <v>FY 2015</v>
      </c>
      <c r="AJ44" s="380" t="s">
        <v>289</v>
      </c>
      <c r="AK44" s="381" t="s">
        <v>290</v>
      </c>
      <c r="AL44" s="381" t="s">
        <v>291</v>
      </c>
      <c r="AM44" s="381" t="s">
        <v>292</v>
      </c>
      <c r="AN44" s="381" t="s">
        <v>293</v>
      </c>
      <c r="AO44" s="381" t="s">
        <v>294</v>
      </c>
      <c r="AP44" s="382" t="s">
        <v>365</v>
      </c>
      <c r="AR44" s="380" t="str">
        <f>+AR4</f>
        <v>IQ 2017</v>
      </c>
      <c r="AS44" s="380" t="str">
        <f aca="true" t="shared" si="41" ref="AS44:AX44">+AS4</f>
        <v>IIQ 2017</v>
      </c>
      <c r="AT44" s="380" t="str">
        <f t="shared" si="41"/>
        <v>IH 2017</v>
      </c>
      <c r="AU44" s="380" t="str">
        <f t="shared" si="41"/>
        <v>III Q 2017</v>
      </c>
      <c r="AV44" s="380" t="str">
        <f t="shared" si="41"/>
        <v>9M 2017</v>
      </c>
      <c r="AW44" s="380" t="str">
        <f t="shared" si="41"/>
        <v>IV Q 2017</v>
      </c>
      <c r="AX44" s="380" t="str">
        <f t="shared" si="41"/>
        <v>FY 2017</v>
      </c>
    </row>
    <row r="45" spans="2:50" ht="12.75">
      <c r="B45" s="136"/>
      <c r="D45" s="106"/>
      <c r="I45" s="57"/>
      <c r="J45" s="98"/>
      <c r="L45" s="106"/>
      <c r="R45" s="98"/>
      <c r="T45" s="106"/>
      <c r="Z45" s="98"/>
      <c r="AB45" s="106"/>
      <c r="AH45" s="98"/>
      <c r="AJ45" s="106"/>
      <c r="AP45" s="98"/>
      <c r="AR45" s="106"/>
      <c r="AV45" s="167"/>
      <c r="AX45" s="98"/>
    </row>
    <row r="46" spans="2:50" ht="12.75">
      <c r="B46" s="137" t="s">
        <v>132</v>
      </c>
      <c r="D46" s="232">
        <v>9542</v>
      </c>
      <c r="E46" s="233"/>
      <c r="F46" s="234">
        <v>10020</v>
      </c>
      <c r="G46" s="234"/>
      <c r="H46" s="234">
        <v>9651</v>
      </c>
      <c r="I46" s="59"/>
      <c r="J46" s="248">
        <v>9690</v>
      </c>
      <c r="L46" s="232">
        <v>9534</v>
      </c>
      <c r="M46" s="233"/>
      <c r="N46" s="234">
        <v>9694</v>
      </c>
      <c r="O46" s="234"/>
      <c r="P46" s="234">
        <v>9631</v>
      </c>
      <c r="Q46" s="59"/>
      <c r="R46" s="248">
        <v>8903</v>
      </c>
      <c r="T46" s="232">
        <v>9534</v>
      </c>
      <c r="U46" s="233"/>
      <c r="V46" s="234">
        <v>9694</v>
      </c>
      <c r="W46" s="234"/>
      <c r="X46" s="234">
        <v>9631</v>
      </c>
      <c r="Y46" s="59"/>
      <c r="Z46" s="248">
        <v>8903</v>
      </c>
      <c r="AB46" s="232">
        <v>8720</v>
      </c>
      <c r="AC46" s="233"/>
      <c r="AD46" s="234">
        <v>8754</v>
      </c>
      <c r="AE46" s="234"/>
      <c r="AF46" s="234">
        <v>8523</v>
      </c>
      <c r="AG46" s="59"/>
      <c r="AH46" s="248">
        <v>7023</v>
      </c>
      <c r="AJ46" s="232">
        <v>6985</v>
      </c>
      <c r="AK46" s="233"/>
      <c r="AL46" s="234">
        <v>7337</v>
      </c>
      <c r="AM46" s="234"/>
      <c r="AN46" s="234">
        <v>7578</v>
      </c>
      <c r="AO46" s="59"/>
      <c r="AP46" s="248">
        <v>7327</v>
      </c>
      <c r="AR46" s="232">
        <v>7228</v>
      </c>
      <c r="AS46" s="233"/>
      <c r="AT46" s="234">
        <v>6884</v>
      </c>
      <c r="AU46" s="234"/>
      <c r="AV46" s="234">
        <v>6832</v>
      </c>
      <c r="AW46" s="59"/>
      <c r="AX46" s="248">
        <v>6319</v>
      </c>
    </row>
    <row r="47" spans="1:50" s="58" customFormat="1" ht="12.75">
      <c r="A47" s="57"/>
      <c r="B47" s="136"/>
      <c r="D47" s="224"/>
      <c r="E47" s="229"/>
      <c r="F47" s="229"/>
      <c r="G47" s="229"/>
      <c r="H47" s="229"/>
      <c r="J47" s="249"/>
      <c r="L47" s="224"/>
      <c r="M47" s="229"/>
      <c r="N47" s="229"/>
      <c r="O47" s="229"/>
      <c r="P47" s="229"/>
      <c r="R47" s="249"/>
      <c r="T47" s="224"/>
      <c r="U47" s="229"/>
      <c r="V47" s="229"/>
      <c r="W47" s="229"/>
      <c r="X47" s="229"/>
      <c r="Z47" s="249"/>
      <c r="AB47" s="224"/>
      <c r="AC47" s="229"/>
      <c r="AD47" s="229"/>
      <c r="AE47" s="229"/>
      <c r="AF47" s="229"/>
      <c r="AH47" s="249"/>
      <c r="AJ47" s="224"/>
      <c r="AK47" s="229"/>
      <c r="AL47" s="229"/>
      <c r="AM47" s="229"/>
      <c r="AN47" s="229"/>
      <c r="AP47" s="249"/>
      <c r="AR47" s="224"/>
      <c r="AS47" s="229"/>
      <c r="AT47" s="229"/>
      <c r="AU47" s="229"/>
      <c r="AV47" s="229"/>
      <c r="AX47" s="249"/>
    </row>
    <row r="48" spans="1:50" ht="15" customHeight="1">
      <c r="A48" s="58"/>
      <c r="B48" s="137" t="s">
        <v>133</v>
      </c>
      <c r="D48" s="232">
        <v>7084</v>
      </c>
      <c r="E48" s="233"/>
      <c r="F48" s="234">
        <v>7272</v>
      </c>
      <c r="G48" s="234"/>
      <c r="H48" s="235">
        <v>7292</v>
      </c>
      <c r="I48" s="59"/>
      <c r="J48" s="250">
        <v>7239</v>
      </c>
      <c r="L48" s="232">
        <v>7305</v>
      </c>
      <c r="M48" s="233"/>
      <c r="N48" s="234">
        <v>7430</v>
      </c>
      <c r="O48" s="234"/>
      <c r="P48" s="235">
        <v>7486</v>
      </c>
      <c r="Q48" s="59"/>
      <c r="R48" s="250">
        <v>7137</v>
      </c>
      <c r="T48" s="232">
        <v>7305</v>
      </c>
      <c r="U48" s="233"/>
      <c r="V48" s="234">
        <v>7430</v>
      </c>
      <c r="W48" s="234"/>
      <c r="X48" s="235">
        <v>7486</v>
      </c>
      <c r="Y48" s="59"/>
      <c r="Z48" s="250">
        <v>7137</v>
      </c>
      <c r="AB48" s="232">
        <v>7117</v>
      </c>
      <c r="AC48" s="233"/>
      <c r="AD48" s="234">
        <v>7075</v>
      </c>
      <c r="AE48" s="234"/>
      <c r="AF48" s="235">
        <v>6805</v>
      </c>
      <c r="AG48" s="59"/>
      <c r="AH48" s="250">
        <v>5876</v>
      </c>
      <c r="AJ48" s="232">
        <v>5844</v>
      </c>
      <c r="AK48" s="233"/>
      <c r="AL48" s="234">
        <v>6270</v>
      </c>
      <c r="AM48" s="234"/>
      <c r="AN48" s="235">
        <v>6372</v>
      </c>
      <c r="AO48" s="59"/>
      <c r="AP48" s="250">
        <v>6265</v>
      </c>
      <c r="AR48" s="232">
        <v>6294</v>
      </c>
      <c r="AS48" s="233"/>
      <c r="AT48" s="234">
        <v>6104</v>
      </c>
      <c r="AU48" s="234"/>
      <c r="AV48" s="235">
        <v>6210</v>
      </c>
      <c r="AW48" s="59"/>
      <c r="AX48" s="250">
        <v>6203</v>
      </c>
    </row>
    <row r="49" spans="1:50" s="58" customFormat="1" ht="12.75">
      <c r="A49" s="57"/>
      <c r="B49" s="136" t="s">
        <v>134</v>
      </c>
      <c r="D49" s="225">
        <v>6972</v>
      </c>
      <c r="E49" s="220"/>
      <c r="F49" s="230">
        <v>7166</v>
      </c>
      <c r="G49" s="222"/>
      <c r="H49" s="230">
        <v>7180</v>
      </c>
      <c r="I49" s="65"/>
      <c r="J49" s="251">
        <v>7126</v>
      </c>
      <c r="L49" s="225">
        <v>7197</v>
      </c>
      <c r="M49" s="220"/>
      <c r="N49" s="230">
        <v>7315</v>
      </c>
      <c r="O49" s="222"/>
      <c r="P49" s="230">
        <v>7363</v>
      </c>
      <c r="Q49" s="65"/>
      <c r="R49" s="251">
        <v>6627</v>
      </c>
      <c r="T49" s="225">
        <v>7197</v>
      </c>
      <c r="U49" s="220"/>
      <c r="V49" s="230">
        <v>7315</v>
      </c>
      <c r="W49" s="222"/>
      <c r="X49" s="230">
        <v>7363</v>
      </c>
      <c r="Y49" s="65"/>
      <c r="Z49" s="251">
        <v>6627</v>
      </c>
      <c r="AB49" s="225">
        <v>6603</v>
      </c>
      <c r="AC49" s="220"/>
      <c r="AD49" s="230">
        <v>6618</v>
      </c>
      <c r="AE49" s="222"/>
      <c r="AF49" s="230">
        <v>6338</v>
      </c>
      <c r="AG49" s="65"/>
      <c r="AH49" s="251">
        <v>5439</v>
      </c>
      <c r="AJ49" s="225">
        <v>5475</v>
      </c>
      <c r="AK49" s="220"/>
      <c r="AL49" s="230">
        <v>5922</v>
      </c>
      <c r="AM49" s="222"/>
      <c r="AN49" s="230">
        <v>6037</v>
      </c>
      <c r="AO49" s="65"/>
      <c r="AP49" s="251">
        <v>5955</v>
      </c>
      <c r="AR49" s="225">
        <v>5979</v>
      </c>
      <c r="AS49" s="220"/>
      <c r="AT49" s="230">
        <v>5817</v>
      </c>
      <c r="AU49" s="222"/>
      <c r="AV49" s="230">
        <v>5919</v>
      </c>
      <c r="AW49" s="65"/>
      <c r="AX49" s="251">
        <v>5915</v>
      </c>
    </row>
    <row r="50" spans="2:50" s="58" customFormat="1" ht="12.75">
      <c r="B50" s="139"/>
      <c r="D50" s="224"/>
      <c r="E50" s="229"/>
      <c r="F50" s="229"/>
      <c r="G50" s="229"/>
      <c r="H50" s="222"/>
      <c r="J50" s="252"/>
      <c r="L50" s="224"/>
      <c r="M50" s="229"/>
      <c r="N50" s="229"/>
      <c r="O50" s="229"/>
      <c r="P50" s="222"/>
      <c r="R50" s="252"/>
      <c r="T50" s="224"/>
      <c r="U50" s="229"/>
      <c r="V50" s="229"/>
      <c r="W50" s="229"/>
      <c r="X50" s="222"/>
      <c r="Z50" s="252"/>
      <c r="AB50" s="224"/>
      <c r="AC50" s="229"/>
      <c r="AD50" s="229"/>
      <c r="AE50" s="229"/>
      <c r="AF50" s="222"/>
      <c r="AH50" s="252"/>
      <c r="AJ50" s="224"/>
      <c r="AK50" s="229"/>
      <c r="AL50" s="229"/>
      <c r="AM50" s="229"/>
      <c r="AN50" s="222"/>
      <c r="AP50" s="252"/>
      <c r="AR50" s="224"/>
      <c r="AS50" s="229"/>
      <c r="AT50" s="229"/>
      <c r="AU50" s="229"/>
      <c r="AV50" s="222"/>
      <c r="AX50" s="252"/>
    </row>
    <row r="51" spans="2:50" s="61" customFormat="1" ht="12" customHeight="1">
      <c r="B51" s="138" t="s">
        <v>135</v>
      </c>
      <c r="D51" s="236">
        <v>2458</v>
      </c>
      <c r="E51" s="233"/>
      <c r="F51" s="237">
        <v>2748</v>
      </c>
      <c r="G51" s="234"/>
      <c r="H51" s="237">
        <v>2359</v>
      </c>
      <c r="I51" s="59"/>
      <c r="J51" s="253">
        <v>2451</v>
      </c>
      <c r="L51" s="236">
        <v>2229</v>
      </c>
      <c r="M51" s="233"/>
      <c r="N51" s="237">
        <v>2264</v>
      </c>
      <c r="O51" s="234"/>
      <c r="P51" s="237">
        <v>2145</v>
      </c>
      <c r="Q51" s="59"/>
      <c r="R51" s="253">
        <v>1766</v>
      </c>
      <c r="T51" s="236">
        <v>2229</v>
      </c>
      <c r="U51" s="233"/>
      <c r="V51" s="237">
        <v>2264</v>
      </c>
      <c r="W51" s="234"/>
      <c r="X51" s="237">
        <v>2145</v>
      </c>
      <c r="Y51" s="59"/>
      <c r="Z51" s="253">
        <v>1766</v>
      </c>
      <c r="AB51" s="236">
        <v>1603</v>
      </c>
      <c r="AC51" s="233"/>
      <c r="AD51" s="237">
        <v>1679</v>
      </c>
      <c r="AE51" s="234"/>
      <c r="AF51" s="237">
        <v>1718</v>
      </c>
      <c r="AG51" s="59"/>
      <c r="AH51" s="253">
        <v>1147</v>
      </c>
      <c r="AJ51" s="236">
        <v>1141</v>
      </c>
      <c r="AK51" s="233"/>
      <c r="AL51" s="237">
        <v>1067</v>
      </c>
      <c r="AM51" s="234"/>
      <c r="AN51" s="237">
        <v>1206</v>
      </c>
      <c r="AO51" s="59"/>
      <c r="AP51" s="253">
        <v>1062</v>
      </c>
      <c r="AR51" s="236">
        <v>934</v>
      </c>
      <c r="AS51" s="233"/>
      <c r="AT51" s="237">
        <v>780</v>
      </c>
      <c r="AU51" s="234"/>
      <c r="AV51" s="237">
        <v>622</v>
      </c>
      <c r="AW51" s="59"/>
      <c r="AX51" s="253">
        <v>116</v>
      </c>
    </row>
    <row r="52" spans="2:50" s="61" customFormat="1" ht="12.75">
      <c r="B52" s="138"/>
      <c r="D52" s="238"/>
      <c r="E52" s="239"/>
      <c r="F52" s="239"/>
      <c r="G52" s="239"/>
      <c r="H52" s="239"/>
      <c r="J52" s="154"/>
      <c r="L52" s="238"/>
      <c r="M52" s="239"/>
      <c r="N52" s="239"/>
      <c r="O52" s="239"/>
      <c r="P52" s="239"/>
      <c r="R52" s="154"/>
      <c r="T52" s="238"/>
      <c r="U52" s="239"/>
      <c r="V52" s="239"/>
      <c r="W52" s="239"/>
      <c r="X52" s="239"/>
      <c r="Z52" s="154"/>
      <c r="AB52" s="238"/>
      <c r="AC52" s="239"/>
      <c r="AD52" s="239"/>
      <c r="AE52" s="239"/>
      <c r="AF52" s="239"/>
      <c r="AH52" s="154"/>
      <c r="AJ52" s="238"/>
      <c r="AK52" s="239"/>
      <c r="AL52" s="239"/>
      <c r="AM52" s="239"/>
      <c r="AN52" s="239"/>
      <c r="AP52" s="154"/>
      <c r="AR52" s="238"/>
      <c r="AS52" s="239"/>
      <c r="AT52" s="239"/>
      <c r="AU52" s="239"/>
      <c r="AV52" s="239"/>
      <c r="AX52" s="154"/>
    </row>
    <row r="53" spans="1:50" s="61" customFormat="1" ht="12.75" customHeight="1">
      <c r="A53" s="154"/>
      <c r="B53" s="138" t="s">
        <v>142</v>
      </c>
      <c r="C53" s="138"/>
      <c r="D53" s="323">
        <f>+D51/D48</f>
        <v>0.3469791078486731</v>
      </c>
      <c r="F53" s="324">
        <f>+F51/F48</f>
        <v>0.3778877887788779</v>
      </c>
      <c r="G53" s="324"/>
      <c r="H53" s="324">
        <f>+H51/H48</f>
        <v>0.3235052111903456</v>
      </c>
      <c r="J53" s="325">
        <f>+J51/J48</f>
        <v>0.33858267716535434</v>
      </c>
      <c r="K53" s="154"/>
      <c r="L53" s="323">
        <f>+L51/L48</f>
        <v>0.30513347022587267</v>
      </c>
      <c r="N53" s="324">
        <f>+N51/N48</f>
        <v>0.3047106325706595</v>
      </c>
      <c r="O53" s="324"/>
      <c r="P53" s="324">
        <f>+P51/P48</f>
        <v>0.28653486508148546</v>
      </c>
      <c r="R53" s="325">
        <f>+R51/R48</f>
        <v>0.2474429031806081</v>
      </c>
      <c r="S53" s="154"/>
      <c r="T53" s="323">
        <f>+T51/T48</f>
        <v>0.30513347022587267</v>
      </c>
      <c r="V53" s="324">
        <f>+V51/V48</f>
        <v>0.3047106325706595</v>
      </c>
      <c r="W53" s="324"/>
      <c r="X53" s="324">
        <f>+X51/X48</f>
        <v>0.28653486508148546</v>
      </c>
      <c r="Z53" s="325">
        <f>+Z51/Z48</f>
        <v>0.2474429031806081</v>
      </c>
      <c r="AA53" s="154"/>
      <c r="AB53" s="323">
        <f>+AB51/AB48</f>
        <v>0.2252353519741464</v>
      </c>
      <c r="AD53" s="324">
        <f>+AD51/AD48</f>
        <v>0.23731448763250884</v>
      </c>
      <c r="AE53" s="324"/>
      <c r="AF53" s="324">
        <f>+AF51/AF48</f>
        <v>0.25246142542248345</v>
      </c>
      <c r="AH53" s="325">
        <f>+AH51/AH48</f>
        <v>0.1952008168822328</v>
      </c>
      <c r="AI53" s="154"/>
      <c r="AJ53" s="323">
        <f>+AJ51/AJ48</f>
        <v>0.19524298425735798</v>
      </c>
      <c r="AL53" s="324">
        <f>+AL51/AL48</f>
        <v>0.17017543859649123</v>
      </c>
      <c r="AM53" s="324"/>
      <c r="AN53" s="324">
        <f>+AN51/AN48</f>
        <v>0.18926553672316385</v>
      </c>
      <c r="AP53" s="325">
        <f>+AP51/AP48</f>
        <v>0.16951316839584996</v>
      </c>
      <c r="AQ53" s="154"/>
      <c r="AR53" s="323">
        <f>+AR51/AR48</f>
        <v>0.14839529710835717</v>
      </c>
      <c r="AT53" s="324">
        <f>+AT51/AT48</f>
        <v>0.12778505897771952</v>
      </c>
      <c r="AU53" s="324"/>
      <c r="AV53" s="684">
        <f>+AV51/AV48</f>
        <v>0.1001610305958132</v>
      </c>
      <c r="AX53" s="325">
        <f>+AX51/AX48</f>
        <v>0.01870062872803482</v>
      </c>
    </row>
    <row r="54" spans="2:50" ht="12.75">
      <c r="B54" s="136"/>
      <c r="D54" s="106"/>
      <c r="I54" s="59"/>
      <c r="J54" s="98"/>
      <c r="L54" s="106"/>
      <c r="Q54" s="59"/>
      <c r="R54" s="98"/>
      <c r="T54" s="106"/>
      <c r="Y54" s="59"/>
      <c r="Z54" s="98"/>
      <c r="AB54" s="106"/>
      <c r="AG54" s="59"/>
      <c r="AH54" s="98"/>
      <c r="AJ54" s="106"/>
      <c r="AO54" s="59"/>
      <c r="AP54" s="98"/>
      <c r="AR54" s="106"/>
      <c r="AV54" s="167"/>
      <c r="AW54" s="59"/>
      <c r="AX54" s="98"/>
    </row>
    <row r="55" spans="1:50" s="58" customFormat="1" ht="12.75">
      <c r="A55" s="98"/>
      <c r="B55" s="136" t="s">
        <v>136</v>
      </c>
      <c r="C55" s="103"/>
      <c r="D55" s="223">
        <f>34+15</f>
        <v>49</v>
      </c>
      <c r="E55" s="326">
        <f>+F55-D55</f>
        <v>56</v>
      </c>
      <c r="F55" s="222">
        <f>77+28</f>
        <v>105</v>
      </c>
      <c r="G55" s="326">
        <f>+H55-F55</f>
        <v>51</v>
      </c>
      <c r="H55" s="222">
        <f>112+44</f>
        <v>156</v>
      </c>
      <c r="I55" s="326">
        <f>+J55-H55</f>
        <v>107</v>
      </c>
      <c r="J55" s="252">
        <f>171+92</f>
        <v>263</v>
      </c>
      <c r="K55" s="103"/>
      <c r="L55" s="223">
        <f>53+20</f>
        <v>73</v>
      </c>
      <c r="M55" s="326">
        <f>+N55-L55</f>
        <v>69</v>
      </c>
      <c r="N55" s="222">
        <f>112+30</f>
        <v>142</v>
      </c>
      <c r="O55" s="326">
        <f>+P55-N55</f>
        <v>102</v>
      </c>
      <c r="P55" s="222">
        <f>198+46</f>
        <v>244</v>
      </c>
      <c r="Q55" s="326">
        <f>+R55-P55</f>
        <v>143</v>
      </c>
      <c r="R55" s="252">
        <f>320+67</f>
        <v>387</v>
      </c>
      <c r="S55" s="103"/>
      <c r="T55" s="223">
        <f>53+20</f>
        <v>73</v>
      </c>
      <c r="U55" s="326">
        <f>+V55-T55</f>
        <v>69</v>
      </c>
      <c r="V55" s="222">
        <f>112+30</f>
        <v>142</v>
      </c>
      <c r="W55" s="326">
        <f>+X55-V55</f>
        <v>102</v>
      </c>
      <c r="X55" s="222">
        <f>198+46</f>
        <v>244</v>
      </c>
      <c r="Y55" s="326">
        <f>+Z55-X55</f>
        <v>143</v>
      </c>
      <c r="Z55" s="252">
        <f>320+67</f>
        <v>387</v>
      </c>
      <c r="AA55" s="103"/>
      <c r="AB55" s="223">
        <f>57+41</f>
        <v>98</v>
      </c>
      <c r="AC55" s="326">
        <f>+AD55-AB55</f>
        <v>159</v>
      </c>
      <c r="AD55" s="222">
        <f>188+69</f>
        <v>257</v>
      </c>
      <c r="AE55" s="326">
        <f>+AF55-AD55</f>
        <v>130</v>
      </c>
      <c r="AF55" s="222">
        <f>281+106</f>
        <v>387</v>
      </c>
      <c r="AG55" s="326">
        <f>+AH55-AF55</f>
        <v>141</v>
      </c>
      <c r="AH55" s="252">
        <f>389+139</f>
        <v>528</v>
      </c>
      <c r="AI55" s="103"/>
      <c r="AJ55" s="223">
        <v>95</v>
      </c>
      <c r="AK55" s="326">
        <f>+AL55-AJ55</f>
        <v>92</v>
      </c>
      <c r="AL55" s="222">
        <f>146+41</f>
        <v>187</v>
      </c>
      <c r="AM55" s="326">
        <f>+AN55-AL55</f>
        <v>30</v>
      </c>
      <c r="AN55" s="222">
        <v>217</v>
      </c>
      <c r="AO55" s="326">
        <f>+AP55-AN55</f>
        <v>188</v>
      </c>
      <c r="AP55" s="252">
        <f>337+68</f>
        <v>405</v>
      </c>
      <c r="AQ55" s="103"/>
      <c r="AR55" s="223">
        <v>108</v>
      </c>
      <c r="AS55" s="326">
        <f>+AT55-AR55</f>
        <v>87</v>
      </c>
      <c r="AT55" s="222">
        <f>153+42</f>
        <v>195</v>
      </c>
      <c r="AU55" s="326">
        <f>+AV55-AT55</f>
        <v>33</v>
      </c>
      <c r="AV55" s="222">
        <v>228</v>
      </c>
      <c r="AW55" s="326">
        <f>+AX55-AV55</f>
        <v>229</v>
      </c>
      <c r="AX55" s="252">
        <v>457</v>
      </c>
    </row>
    <row r="56" spans="2:50" s="58" customFormat="1" ht="12.75">
      <c r="B56" s="139"/>
      <c r="D56" s="94"/>
      <c r="F56" s="222"/>
      <c r="J56" s="252"/>
      <c r="L56" s="94"/>
      <c r="N56" s="222"/>
      <c r="R56" s="252"/>
      <c r="T56" s="94"/>
      <c r="V56" s="222"/>
      <c r="Z56" s="252"/>
      <c r="AB56" s="94"/>
      <c r="AD56" s="222"/>
      <c r="AH56" s="252"/>
      <c r="AJ56" s="94"/>
      <c r="AL56" s="222"/>
      <c r="AP56" s="252"/>
      <c r="AR56" s="94"/>
      <c r="AT56" s="222"/>
      <c r="AV56" s="167"/>
      <c r="AX56" s="252"/>
    </row>
    <row r="57" spans="2:50" s="58" customFormat="1" ht="12.75">
      <c r="B57" s="307" t="s">
        <v>513</v>
      </c>
      <c r="D57" s="240">
        <v>3181</v>
      </c>
      <c r="E57" s="241"/>
      <c r="F57" s="241">
        <v>3193</v>
      </c>
      <c r="G57" s="242"/>
      <c r="H57" s="242">
        <v>3201</v>
      </c>
      <c r="I57" s="153"/>
      <c r="J57" s="254">
        <v>3183</v>
      </c>
      <c r="L57" s="240">
        <v>3161</v>
      </c>
      <c r="M57" s="241"/>
      <c r="N57" s="241">
        <v>3145</v>
      </c>
      <c r="O57" s="242"/>
      <c r="P57" s="242">
        <v>3146</v>
      </c>
      <c r="Q57" s="153"/>
      <c r="R57" s="254">
        <v>3101</v>
      </c>
      <c r="T57" s="240">
        <v>3161</v>
      </c>
      <c r="U57" s="241"/>
      <c r="V57" s="241">
        <v>3145</v>
      </c>
      <c r="W57" s="242"/>
      <c r="X57" s="242">
        <v>3146</v>
      </c>
      <c r="Y57" s="153"/>
      <c r="Z57" s="254">
        <v>3101</v>
      </c>
      <c r="AB57" s="240">
        <v>3103</v>
      </c>
      <c r="AC57" s="241"/>
      <c r="AD57" s="241">
        <v>3086</v>
      </c>
      <c r="AE57" s="242"/>
      <c r="AF57" s="242">
        <v>3071</v>
      </c>
      <c r="AG57" s="153"/>
      <c r="AH57" s="254">
        <v>3066</v>
      </c>
      <c r="AJ57" s="240">
        <v>2948</v>
      </c>
      <c r="AK57" s="241"/>
      <c r="AL57" s="241">
        <v>5047</v>
      </c>
      <c r="AM57" s="242"/>
      <c r="AN57" s="242">
        <v>4920</v>
      </c>
      <c r="AO57" s="153"/>
      <c r="AP57" s="254">
        <v>4949</v>
      </c>
      <c r="AR57" s="384" t="s">
        <v>529</v>
      </c>
      <c r="AS57" s="241"/>
      <c r="AT57" s="241">
        <v>5017</v>
      </c>
      <c r="AU57" s="242"/>
      <c r="AV57" s="388" t="s">
        <v>529</v>
      </c>
      <c r="AW57" s="153"/>
      <c r="AX57" s="254">
        <v>5144</v>
      </c>
    </row>
    <row r="58" s="58" customFormat="1" ht="12.75">
      <c r="AV58" s="167"/>
    </row>
    <row r="59" s="49" customFormat="1" ht="12.75">
      <c r="AV59" s="167"/>
    </row>
    <row r="60" spans="2:50" s="51" customFormat="1" ht="17.25" customHeight="1">
      <c r="B60" s="132" t="s">
        <v>216</v>
      </c>
      <c r="D60" s="380" t="s">
        <v>228</v>
      </c>
      <c r="E60" s="381" t="s">
        <v>229</v>
      </c>
      <c r="F60" s="381" t="s">
        <v>230</v>
      </c>
      <c r="G60" s="381" t="s">
        <v>231</v>
      </c>
      <c r="H60" s="381" t="s">
        <v>232</v>
      </c>
      <c r="I60" s="381" t="s">
        <v>233</v>
      </c>
      <c r="J60" s="382" t="s">
        <v>234</v>
      </c>
      <c r="L60" s="380" t="s">
        <v>243</v>
      </c>
      <c r="M60" s="381" t="s">
        <v>244</v>
      </c>
      <c r="N60" s="381" t="s">
        <v>245</v>
      </c>
      <c r="O60" s="381" t="s">
        <v>246</v>
      </c>
      <c r="P60" s="381" t="s">
        <v>247</v>
      </c>
      <c r="Q60" s="381" t="s">
        <v>248</v>
      </c>
      <c r="R60" s="382" t="s">
        <v>249</v>
      </c>
      <c r="T60" s="380" t="str">
        <f aca="true" t="shared" si="42" ref="T60:Z60">+T4</f>
        <v>IQ 2014</v>
      </c>
      <c r="U60" s="381" t="str">
        <f t="shared" si="42"/>
        <v>IIQ 2014</v>
      </c>
      <c r="V60" s="381" t="str">
        <f t="shared" si="42"/>
        <v>IH 2014</v>
      </c>
      <c r="W60" s="381" t="str">
        <f t="shared" si="42"/>
        <v>III Q 2014</v>
      </c>
      <c r="X60" s="381" t="str">
        <f t="shared" si="42"/>
        <v>9M 2014</v>
      </c>
      <c r="Y60" s="381" t="str">
        <f t="shared" si="42"/>
        <v>IV Q 2014</v>
      </c>
      <c r="Z60" s="382" t="str">
        <f t="shared" si="42"/>
        <v>FY 2014</v>
      </c>
      <c r="AB60" s="380" t="str">
        <f aca="true" t="shared" si="43" ref="AB60:AH60">+AB4</f>
        <v>IQ 2015</v>
      </c>
      <c r="AC60" s="381" t="str">
        <f t="shared" si="43"/>
        <v>IIQ 2015</v>
      </c>
      <c r="AD60" s="381" t="str">
        <f t="shared" si="43"/>
        <v>IH 2015</v>
      </c>
      <c r="AE60" s="381" t="str">
        <f t="shared" si="43"/>
        <v>III Q 2015</v>
      </c>
      <c r="AF60" s="381" t="str">
        <f t="shared" si="43"/>
        <v>9M 2015</v>
      </c>
      <c r="AG60" s="381" t="str">
        <f t="shared" si="43"/>
        <v>IV Q 2015</v>
      </c>
      <c r="AH60" s="382" t="str">
        <f t="shared" si="43"/>
        <v>FY 2015</v>
      </c>
      <c r="AJ60" s="380" t="s">
        <v>289</v>
      </c>
      <c r="AK60" s="381" t="s">
        <v>290</v>
      </c>
      <c r="AL60" s="381" t="s">
        <v>291</v>
      </c>
      <c r="AM60" s="381" t="s">
        <v>292</v>
      </c>
      <c r="AN60" s="381" t="s">
        <v>293</v>
      </c>
      <c r="AO60" s="381" t="s">
        <v>294</v>
      </c>
      <c r="AP60" s="382" t="s">
        <v>365</v>
      </c>
      <c r="AR60" s="380" t="str">
        <f>+AR44</f>
        <v>IQ 2017</v>
      </c>
      <c r="AS60" s="380" t="str">
        <f aca="true" t="shared" si="44" ref="AS60:AX60">+AS44</f>
        <v>IIQ 2017</v>
      </c>
      <c r="AT60" s="380" t="str">
        <f t="shared" si="44"/>
        <v>IH 2017</v>
      </c>
      <c r="AU60" s="380" t="str">
        <f t="shared" si="44"/>
        <v>III Q 2017</v>
      </c>
      <c r="AV60" s="380" t="str">
        <f t="shared" si="44"/>
        <v>9M 2017</v>
      </c>
      <c r="AW60" s="380" t="str">
        <f t="shared" si="44"/>
        <v>IV Q 2017</v>
      </c>
      <c r="AX60" s="380" t="str">
        <f t="shared" si="44"/>
        <v>FY 2017</v>
      </c>
    </row>
    <row r="61" spans="1:50" ht="12.75">
      <c r="A61" s="51"/>
      <c r="B61" s="157"/>
      <c r="D61" s="106"/>
      <c r="I61" s="57"/>
      <c r="J61" s="98"/>
      <c r="L61" s="106"/>
      <c r="R61" s="98"/>
      <c r="T61" s="106"/>
      <c r="Z61" s="98"/>
      <c r="AB61" s="106"/>
      <c r="AH61" s="98"/>
      <c r="AJ61" s="106"/>
      <c r="AP61" s="98"/>
      <c r="AR61" s="106"/>
      <c r="AV61" s="167"/>
      <c r="AX61" s="98"/>
    </row>
    <row r="62" spans="1:50" ht="12.75">
      <c r="A62" s="53"/>
      <c r="B62" s="135" t="s">
        <v>159</v>
      </c>
      <c r="D62" s="148">
        <f>D6</f>
        <v>1756</v>
      </c>
      <c r="E62" s="55">
        <f>+F62-D62</f>
        <v>1787</v>
      </c>
      <c r="F62" s="63">
        <f>F6</f>
        <v>3543</v>
      </c>
      <c r="G62" s="55">
        <f>+H62-F62</f>
        <v>1737</v>
      </c>
      <c r="H62" s="63">
        <f>H6</f>
        <v>5280</v>
      </c>
      <c r="I62" s="55">
        <f>+J62-H62</f>
        <v>1882</v>
      </c>
      <c r="J62" s="86">
        <f>J6</f>
        <v>7162</v>
      </c>
      <c r="L62" s="148">
        <f>L6</f>
        <v>2245</v>
      </c>
      <c r="M62" s="55">
        <f>+N62-L62</f>
        <v>1766</v>
      </c>
      <c r="N62" s="63">
        <f>N6</f>
        <v>4011</v>
      </c>
      <c r="O62" s="55">
        <f>+P62-N62</f>
        <v>1889</v>
      </c>
      <c r="P62" s="63">
        <f>P6</f>
        <v>5900</v>
      </c>
      <c r="Q62" s="55">
        <f>+R62-P62</f>
        <v>1959</v>
      </c>
      <c r="R62" s="86">
        <f>R6</f>
        <v>7859</v>
      </c>
      <c r="T62" s="272">
        <f>T6</f>
        <v>2115</v>
      </c>
      <c r="U62" s="262">
        <f>+V62-T62</f>
        <v>1754</v>
      </c>
      <c r="V62" s="262">
        <f>V6</f>
        <v>3869</v>
      </c>
      <c r="W62" s="262">
        <f>+X62-V62</f>
        <v>1912</v>
      </c>
      <c r="X62" s="262">
        <f>X6</f>
        <v>5781</v>
      </c>
      <c r="Y62" s="262">
        <f>+Z62-X62</f>
        <v>2078</v>
      </c>
      <c r="Z62" s="257">
        <f>Z6</f>
        <v>7859</v>
      </c>
      <c r="AB62" s="272">
        <f>AB6</f>
        <v>1703</v>
      </c>
      <c r="AC62" s="262">
        <f>+AD62-AB62</f>
        <v>1581</v>
      </c>
      <c r="AD62" s="262">
        <f>AD6</f>
        <v>3284</v>
      </c>
      <c r="AE62" s="262">
        <f>+AF62-AD62</f>
        <v>1713</v>
      </c>
      <c r="AF62" s="262">
        <f>AF6</f>
        <v>4997</v>
      </c>
      <c r="AG62" s="262">
        <f>+AH62-AF62</f>
        <v>1532</v>
      </c>
      <c r="AH62" s="257">
        <f>AH6</f>
        <v>6529</v>
      </c>
      <c r="AJ62" s="272">
        <f>AJ6</f>
        <v>1361</v>
      </c>
      <c r="AK62" s="262">
        <f>+AL62-AJ62</f>
        <v>1289</v>
      </c>
      <c r="AL62" s="262">
        <f>+AL6</f>
        <v>2650</v>
      </c>
      <c r="AM62" s="262">
        <f>AN62-AL62</f>
        <v>1413</v>
      </c>
      <c r="AN62" s="262">
        <f>+AN6</f>
        <v>4063</v>
      </c>
      <c r="AO62" s="262">
        <f>+AP62-AN62</f>
        <v>1619</v>
      </c>
      <c r="AP62" s="257">
        <f>+AP6</f>
        <v>5682</v>
      </c>
      <c r="AR62" s="272">
        <f>+AR6</f>
        <v>1387</v>
      </c>
      <c r="AS62" s="262">
        <f>+AT62-AR62</f>
        <v>1157</v>
      </c>
      <c r="AT62" s="262">
        <f>+AT6</f>
        <v>2544</v>
      </c>
      <c r="AU62" s="262">
        <f>AV62-AT62</f>
        <v>1317</v>
      </c>
      <c r="AV62" s="262">
        <f>+AV6</f>
        <v>3861</v>
      </c>
      <c r="AW62" s="262">
        <f>+AX62-AV62</f>
        <v>1266</v>
      </c>
      <c r="AX62" s="257">
        <f>+AX6</f>
        <v>5127</v>
      </c>
    </row>
    <row r="63" spans="1:50" ht="12.75">
      <c r="A63" s="53"/>
      <c r="B63" s="135"/>
      <c r="D63" s="148"/>
      <c r="E63" s="55"/>
      <c r="F63" s="63"/>
      <c r="G63" s="55"/>
      <c r="H63" s="63"/>
      <c r="I63" s="55"/>
      <c r="J63" s="86"/>
      <c r="L63" s="148"/>
      <c r="M63" s="55"/>
      <c r="N63" s="63"/>
      <c r="O63" s="55"/>
      <c r="P63" s="63"/>
      <c r="Q63" s="55"/>
      <c r="R63" s="86"/>
      <c r="T63" s="272"/>
      <c r="U63" s="262"/>
      <c r="V63" s="262"/>
      <c r="W63" s="262"/>
      <c r="X63" s="262"/>
      <c r="Y63" s="262"/>
      <c r="Z63" s="257"/>
      <c r="AB63" s="272"/>
      <c r="AC63" s="262"/>
      <c r="AD63" s="262"/>
      <c r="AE63" s="262"/>
      <c r="AF63" s="262"/>
      <c r="AG63" s="262"/>
      <c r="AH63" s="257"/>
      <c r="AJ63" s="272"/>
      <c r="AK63" s="262"/>
      <c r="AL63" s="262"/>
      <c r="AM63" s="262"/>
      <c r="AN63" s="262"/>
      <c r="AO63" s="262"/>
      <c r="AP63" s="257"/>
      <c r="AR63" s="272"/>
      <c r="AS63" s="262"/>
      <c r="AT63" s="262"/>
      <c r="AU63" s="262"/>
      <c r="AV63" s="262"/>
      <c r="AW63" s="262"/>
      <c r="AX63" s="257"/>
    </row>
    <row r="64" spans="1:50" ht="12.75">
      <c r="A64" s="61"/>
      <c r="B64" s="313" t="s">
        <v>367</v>
      </c>
      <c r="D64" s="308">
        <f>D17</f>
        <v>149</v>
      </c>
      <c r="E64" s="262">
        <f>+F64-D64</f>
        <v>204</v>
      </c>
      <c r="F64" s="309">
        <f>F17</f>
        <v>353</v>
      </c>
      <c r="G64" s="262">
        <f>+H64-F64</f>
        <v>159</v>
      </c>
      <c r="H64" s="309">
        <f>H17</f>
        <v>512</v>
      </c>
      <c r="I64" s="262">
        <f>+J64-H64</f>
        <v>154</v>
      </c>
      <c r="J64" s="310">
        <f>J17</f>
        <v>666</v>
      </c>
      <c r="L64" s="308">
        <f>L17</f>
        <v>188</v>
      </c>
      <c r="M64" s="262">
        <f>+N64-L64</f>
        <v>176</v>
      </c>
      <c r="N64" s="309">
        <f>N17</f>
        <v>364</v>
      </c>
      <c r="O64" s="262">
        <f>+P64-N64</f>
        <v>146</v>
      </c>
      <c r="P64" s="309">
        <f>P17</f>
        <v>510</v>
      </c>
      <c r="Q64" s="262">
        <f>+R64-P64</f>
        <v>180</v>
      </c>
      <c r="R64" s="310">
        <f>R17</f>
        <v>690</v>
      </c>
      <c r="T64" s="311">
        <f aca="true" t="shared" si="45" ref="T64:Z64">+T17</f>
        <v>188</v>
      </c>
      <c r="U64" s="275">
        <f t="shared" si="45"/>
        <v>176</v>
      </c>
      <c r="V64" s="275">
        <f t="shared" si="45"/>
        <v>364</v>
      </c>
      <c r="W64" s="275">
        <f t="shared" si="45"/>
        <v>146</v>
      </c>
      <c r="X64" s="275">
        <f t="shared" si="45"/>
        <v>510</v>
      </c>
      <c r="Y64" s="275">
        <f t="shared" si="45"/>
        <v>180</v>
      </c>
      <c r="Z64" s="312">
        <f t="shared" si="45"/>
        <v>690</v>
      </c>
      <c r="AB64" s="311">
        <f aca="true" t="shared" si="46" ref="AB64:AH64">+AB17</f>
        <v>109</v>
      </c>
      <c r="AC64" s="275">
        <f t="shared" si="46"/>
        <v>99</v>
      </c>
      <c r="AD64" s="275">
        <f t="shared" si="46"/>
        <v>208</v>
      </c>
      <c r="AE64" s="275">
        <f t="shared" si="46"/>
        <v>79</v>
      </c>
      <c r="AF64" s="275">
        <f t="shared" si="46"/>
        <v>287</v>
      </c>
      <c r="AG64" s="275">
        <f t="shared" si="46"/>
        <v>-11</v>
      </c>
      <c r="AH64" s="312">
        <f t="shared" si="46"/>
        <v>276</v>
      </c>
      <c r="AJ64" s="311">
        <f>AJ17</f>
        <v>43</v>
      </c>
      <c r="AK64" s="275">
        <f>+AL64-AJ64</f>
        <v>79</v>
      </c>
      <c r="AL64" s="275">
        <f>+AL17</f>
        <v>122</v>
      </c>
      <c r="AM64" s="275">
        <f>AN64-AL64</f>
        <v>60</v>
      </c>
      <c r="AN64" s="275">
        <f>+AN17</f>
        <v>182</v>
      </c>
      <c r="AO64" s="275">
        <f>+AP64-AN64</f>
        <v>60</v>
      </c>
      <c r="AP64" s="312">
        <f>+AP17</f>
        <v>242</v>
      </c>
      <c r="AR64" s="311">
        <f>+AR17</f>
        <v>68</v>
      </c>
      <c r="AS64" s="275">
        <f>+AT64-AR64</f>
        <v>63</v>
      </c>
      <c r="AT64" s="275">
        <f>+AT17</f>
        <v>131</v>
      </c>
      <c r="AU64" s="275">
        <f>AV64-AT64</f>
        <v>101</v>
      </c>
      <c r="AV64" s="275">
        <f>+AV17</f>
        <v>232</v>
      </c>
      <c r="AW64" s="275">
        <f>+AX64-AV64</f>
        <v>33</v>
      </c>
      <c r="AX64" s="312">
        <f>+AX17</f>
        <v>265</v>
      </c>
    </row>
    <row r="65" spans="1:50" ht="12.75">
      <c r="A65" s="61"/>
      <c r="B65" s="269" t="s">
        <v>514</v>
      </c>
      <c r="D65" s="236">
        <v>144</v>
      </c>
      <c r="E65" s="55">
        <f>+F65-D65</f>
        <v>198</v>
      </c>
      <c r="F65" s="237">
        <v>342</v>
      </c>
      <c r="G65" s="55">
        <f>+H65-F65</f>
        <v>155</v>
      </c>
      <c r="H65" s="237">
        <v>497</v>
      </c>
      <c r="I65" s="55">
        <f>+J65-H65</f>
        <v>159</v>
      </c>
      <c r="J65" s="253">
        <v>656</v>
      </c>
      <c r="L65" s="236">
        <v>185</v>
      </c>
      <c r="M65" s="55">
        <f>+N65-L65</f>
        <v>171</v>
      </c>
      <c r="N65" s="237">
        <v>356</v>
      </c>
      <c r="O65" s="55">
        <f>+P65-N65</f>
        <v>136</v>
      </c>
      <c r="P65" s="237">
        <v>492</v>
      </c>
      <c r="Q65" s="55">
        <f>+R65-P65</f>
        <v>160</v>
      </c>
      <c r="R65" s="253">
        <v>652</v>
      </c>
      <c r="T65" s="236">
        <v>185</v>
      </c>
      <c r="U65" s="55">
        <f>+V65-T65</f>
        <v>171</v>
      </c>
      <c r="V65" s="237">
        <v>356</v>
      </c>
      <c r="W65" s="55">
        <f>+X65-V65</f>
        <v>136</v>
      </c>
      <c r="X65" s="237">
        <v>492</v>
      </c>
      <c r="Y65" s="55">
        <f>+Z65-X65</f>
        <v>160</v>
      </c>
      <c r="Z65" s="253">
        <v>652</v>
      </c>
      <c r="AB65" s="236">
        <v>95</v>
      </c>
      <c r="AC65" s="55">
        <f>+AD65-AB65</f>
        <v>108</v>
      </c>
      <c r="AD65" s="237">
        <v>203</v>
      </c>
      <c r="AE65" s="55">
        <f>+AF65-AD65</f>
        <v>122</v>
      </c>
      <c r="AF65" s="237">
        <v>325</v>
      </c>
      <c r="AG65" s="55">
        <f>+AH65-AF65</f>
        <v>35</v>
      </c>
      <c r="AH65" s="253">
        <v>360</v>
      </c>
      <c r="AJ65" s="236">
        <v>71</v>
      </c>
      <c r="AK65" s="275">
        <f>+AL65-AJ65</f>
        <v>118</v>
      </c>
      <c r="AL65" s="237">
        <v>189</v>
      </c>
      <c r="AM65" s="275">
        <f>AN65-AL65</f>
        <v>100</v>
      </c>
      <c r="AN65" s="237">
        <v>289</v>
      </c>
      <c r="AO65" s="275">
        <f>+AP65-AN65</f>
        <v>97</v>
      </c>
      <c r="AP65" s="253">
        <v>386</v>
      </c>
      <c r="AR65" s="236">
        <v>74</v>
      </c>
      <c r="AS65" s="275">
        <f>+AT65-AR65</f>
        <v>68</v>
      </c>
      <c r="AT65" s="237">
        <v>142</v>
      </c>
      <c r="AU65" s="275">
        <f>AV65-AT65</f>
        <v>108</v>
      </c>
      <c r="AV65" s="237">
        <v>250</v>
      </c>
      <c r="AW65" s="275">
        <f>+AX65-AV65</f>
        <v>39</v>
      </c>
      <c r="AX65" s="253">
        <v>289</v>
      </c>
    </row>
    <row r="66" spans="1:50" ht="12.75">
      <c r="A66" s="61"/>
      <c r="B66" s="269"/>
      <c r="D66" s="236"/>
      <c r="E66" s="55"/>
      <c r="F66" s="237"/>
      <c r="G66" s="55"/>
      <c r="H66" s="237"/>
      <c r="I66" s="55"/>
      <c r="J66" s="253"/>
      <c r="L66" s="236"/>
      <c r="M66" s="55"/>
      <c r="N66" s="237"/>
      <c r="O66" s="55"/>
      <c r="P66" s="237"/>
      <c r="Q66" s="55"/>
      <c r="R66" s="253"/>
      <c r="T66" s="236"/>
      <c r="U66" s="55"/>
      <c r="V66" s="237"/>
      <c r="W66" s="55"/>
      <c r="X66" s="237"/>
      <c r="Y66" s="55"/>
      <c r="Z66" s="253"/>
      <c r="AB66" s="236"/>
      <c r="AC66" s="55"/>
      <c r="AD66" s="237"/>
      <c r="AE66" s="55"/>
      <c r="AF66" s="237"/>
      <c r="AG66" s="55"/>
      <c r="AH66" s="253"/>
      <c r="AJ66" s="236"/>
      <c r="AK66" s="275"/>
      <c r="AL66" s="237"/>
      <c r="AM66" s="275"/>
      <c r="AN66" s="237"/>
      <c r="AO66" s="275"/>
      <c r="AP66" s="253"/>
      <c r="AR66" s="236"/>
      <c r="AS66" s="275"/>
      <c r="AT66" s="237"/>
      <c r="AU66" s="275"/>
      <c r="AV66" s="237"/>
      <c r="AW66" s="275"/>
      <c r="AX66" s="253"/>
    </row>
    <row r="67" spans="1:50" s="58" customFormat="1" ht="12.75">
      <c r="A67" s="57"/>
      <c r="B67" s="136" t="s">
        <v>285</v>
      </c>
      <c r="D67" s="228">
        <v>-13</v>
      </c>
      <c r="E67" s="163">
        <f>+F67-D67</f>
        <v>-1</v>
      </c>
      <c r="F67" s="174">
        <v>-14</v>
      </c>
      <c r="G67" s="163">
        <f>+H67-F67</f>
        <v>11</v>
      </c>
      <c r="H67" s="174">
        <v>-3</v>
      </c>
      <c r="I67" s="163">
        <f>+J67-H67</f>
        <v>25</v>
      </c>
      <c r="J67" s="255">
        <v>22</v>
      </c>
      <c r="L67" s="228">
        <v>-2</v>
      </c>
      <c r="M67" s="163">
        <f>+N67-L67</f>
        <v>3</v>
      </c>
      <c r="N67" s="174">
        <v>1</v>
      </c>
      <c r="O67" s="163">
        <f>+P67-N67</f>
        <v>2</v>
      </c>
      <c r="P67" s="174">
        <v>3</v>
      </c>
      <c r="Q67" s="163">
        <f>+R67-P67</f>
        <v>3</v>
      </c>
      <c r="R67" s="255">
        <v>6</v>
      </c>
      <c r="T67" s="228">
        <v>-2</v>
      </c>
      <c r="U67" s="163">
        <f>+V67-T67</f>
        <v>3</v>
      </c>
      <c r="V67" s="174">
        <v>1</v>
      </c>
      <c r="W67" s="163">
        <f>+X67-V67</f>
        <v>2</v>
      </c>
      <c r="X67" s="174">
        <v>3</v>
      </c>
      <c r="Y67" s="163">
        <f>+Z67-X67</f>
        <v>3</v>
      </c>
      <c r="Z67" s="255">
        <v>6</v>
      </c>
      <c r="AB67" s="228">
        <v>4</v>
      </c>
      <c r="AC67" s="163">
        <f>+AD67-AB67</f>
        <v>2</v>
      </c>
      <c r="AD67" s="174">
        <v>6</v>
      </c>
      <c r="AE67" s="163">
        <f>+AF67-AD67</f>
        <v>1</v>
      </c>
      <c r="AF67" s="174">
        <v>7</v>
      </c>
      <c r="AG67" s="163">
        <f>+AH67-AF67</f>
        <v>-23</v>
      </c>
      <c r="AH67" s="255">
        <v>-16</v>
      </c>
      <c r="AJ67" s="228">
        <v>-2</v>
      </c>
      <c r="AK67" s="163">
        <f>+AL67-AJ67</f>
        <v>2</v>
      </c>
      <c r="AL67" s="174">
        <v>0</v>
      </c>
      <c r="AM67" s="163">
        <f>AN67-AL67</f>
        <v>5</v>
      </c>
      <c r="AN67" s="174">
        <v>5</v>
      </c>
      <c r="AO67" s="163">
        <f>+AP67-AN67</f>
        <v>6</v>
      </c>
      <c r="AP67" s="255">
        <v>11</v>
      </c>
      <c r="AR67" s="349" t="s">
        <v>529</v>
      </c>
      <c r="AS67" s="115" t="s">
        <v>529</v>
      </c>
      <c r="AT67" s="174">
        <v>5</v>
      </c>
      <c r="AU67" s="115" t="s">
        <v>529</v>
      </c>
      <c r="AV67" s="175" t="s">
        <v>529</v>
      </c>
      <c r="AW67" s="115" t="s">
        <v>529</v>
      </c>
      <c r="AX67" s="255">
        <v>4</v>
      </c>
    </row>
    <row r="68" spans="1:50" s="58" customFormat="1" ht="12.75">
      <c r="A68" s="57"/>
      <c r="B68" s="172" t="s">
        <v>376</v>
      </c>
      <c r="D68" s="228">
        <v>-58</v>
      </c>
      <c r="E68" s="163">
        <f>+F68-D68</f>
        <v>-64</v>
      </c>
      <c r="F68" s="174">
        <v>-122</v>
      </c>
      <c r="G68" s="163">
        <f>+H68-F68</f>
        <v>-61</v>
      </c>
      <c r="H68" s="174">
        <v>-183</v>
      </c>
      <c r="I68" s="163">
        <f>+J68-H68</f>
        <v>-62</v>
      </c>
      <c r="J68" s="255">
        <v>-245</v>
      </c>
      <c r="L68" s="228">
        <v>-59</v>
      </c>
      <c r="M68" s="163">
        <f>+N68-L68</f>
        <v>-58</v>
      </c>
      <c r="N68" s="174">
        <v>-117</v>
      </c>
      <c r="O68" s="163">
        <f>+P68-N68</f>
        <v>-58</v>
      </c>
      <c r="P68" s="174">
        <v>-175</v>
      </c>
      <c r="Q68" s="163">
        <f>+R68-P68</f>
        <v>-56</v>
      </c>
      <c r="R68" s="255">
        <v>-231</v>
      </c>
      <c r="T68" s="228">
        <v>-59</v>
      </c>
      <c r="U68" s="163">
        <f>+V68-T68</f>
        <v>-58</v>
      </c>
      <c r="V68" s="174">
        <v>-117</v>
      </c>
      <c r="W68" s="163">
        <f>+X68-V68</f>
        <v>-58</v>
      </c>
      <c r="X68" s="174">
        <v>-175</v>
      </c>
      <c r="Y68" s="163">
        <f>+Z68-X68</f>
        <v>-56</v>
      </c>
      <c r="Z68" s="255">
        <v>-231</v>
      </c>
      <c r="AB68" s="228">
        <v>-58</v>
      </c>
      <c r="AC68" s="163">
        <f>+AD68-AB68</f>
        <v>-57</v>
      </c>
      <c r="AD68" s="174">
        <v>-115</v>
      </c>
      <c r="AE68" s="163">
        <f>+AF68-AD68</f>
        <v>-59</v>
      </c>
      <c r="AF68" s="174">
        <v>-174</v>
      </c>
      <c r="AG68" s="163">
        <f>+AH68-AF68</f>
        <v>-78</v>
      </c>
      <c r="AH68" s="255">
        <v>-252</v>
      </c>
      <c r="AJ68" s="228">
        <v>-43</v>
      </c>
      <c r="AK68" s="163">
        <f>+AL68-AJ68</f>
        <v>-59</v>
      </c>
      <c r="AL68" s="174">
        <v>-102</v>
      </c>
      <c r="AM68" s="163">
        <f>AN68-AL68</f>
        <v>-53</v>
      </c>
      <c r="AN68" s="174">
        <v>-155</v>
      </c>
      <c r="AO68" s="163">
        <f>+AP68-AN68</f>
        <v>-56</v>
      </c>
      <c r="AP68" s="255">
        <v>-211</v>
      </c>
      <c r="AR68" s="349" t="s">
        <v>529</v>
      </c>
      <c r="AS68" s="115" t="s">
        <v>529</v>
      </c>
      <c r="AT68" s="174">
        <v>-113</v>
      </c>
      <c r="AU68" s="115" t="s">
        <v>529</v>
      </c>
      <c r="AV68" s="175" t="s">
        <v>529</v>
      </c>
      <c r="AW68" s="115" t="s">
        <v>529</v>
      </c>
      <c r="AX68" s="255">
        <v>-226</v>
      </c>
    </row>
    <row r="69" spans="1:50" s="58" customFormat="1" ht="12.75">
      <c r="A69" s="57"/>
      <c r="B69" s="136" t="s">
        <v>377</v>
      </c>
      <c r="D69" s="228">
        <v>-2</v>
      </c>
      <c r="E69" s="163">
        <f>+F69-D69</f>
        <v>-47</v>
      </c>
      <c r="F69" s="174">
        <f>-46-3</f>
        <v>-49</v>
      </c>
      <c r="G69" s="163">
        <f>+H69-F69</f>
        <v>1</v>
      </c>
      <c r="H69" s="174">
        <f>-46-2</f>
        <v>-48</v>
      </c>
      <c r="I69" s="163">
        <f>+J69-H69</f>
        <v>2</v>
      </c>
      <c r="J69" s="255">
        <v>-46</v>
      </c>
      <c r="L69" s="228"/>
      <c r="M69" s="163"/>
      <c r="N69" s="174"/>
      <c r="O69" s="163"/>
      <c r="P69" s="174"/>
      <c r="Q69" s="163"/>
      <c r="R69" s="255">
        <f>-6-161</f>
        <v>-167</v>
      </c>
      <c r="T69" s="228"/>
      <c r="U69" s="163"/>
      <c r="V69" s="174"/>
      <c r="W69" s="163"/>
      <c r="X69" s="174"/>
      <c r="Y69" s="163"/>
      <c r="Z69" s="255">
        <f>-6-161</f>
        <v>-167</v>
      </c>
      <c r="AB69" s="228"/>
      <c r="AC69" s="163"/>
      <c r="AD69" s="174"/>
      <c r="AE69" s="163"/>
      <c r="AF69" s="174"/>
      <c r="AG69" s="163"/>
      <c r="AH69" s="255">
        <f>-412-657</f>
        <v>-1069</v>
      </c>
      <c r="AJ69" s="228"/>
      <c r="AK69" s="163"/>
      <c r="AL69" s="174"/>
      <c r="AM69" s="163"/>
      <c r="AN69" s="174"/>
      <c r="AO69" s="163"/>
      <c r="AP69" s="255">
        <v>-2</v>
      </c>
      <c r="AR69" s="228"/>
      <c r="AS69" s="163"/>
      <c r="AT69" s="174"/>
      <c r="AU69" s="163"/>
      <c r="AV69" s="175"/>
      <c r="AW69" s="163"/>
      <c r="AX69" s="255">
        <v>-49</v>
      </c>
    </row>
    <row r="70" spans="1:50" s="58" customFormat="1" ht="12.75">
      <c r="A70" s="57"/>
      <c r="B70" s="91" t="s">
        <v>286</v>
      </c>
      <c r="D70" s="228"/>
      <c r="E70" s="163"/>
      <c r="F70" s="174"/>
      <c r="G70" s="163"/>
      <c r="H70" s="174"/>
      <c r="I70" s="163"/>
      <c r="J70" s="255"/>
      <c r="L70" s="228"/>
      <c r="M70" s="163"/>
      <c r="N70" s="174"/>
      <c r="O70" s="163"/>
      <c r="P70" s="174"/>
      <c r="Q70" s="163"/>
      <c r="R70" s="255"/>
      <c r="T70" s="228"/>
      <c r="U70" s="163"/>
      <c r="V70" s="174"/>
      <c r="W70" s="163"/>
      <c r="X70" s="174"/>
      <c r="Y70" s="163"/>
      <c r="Z70" s="255"/>
      <c r="AB70" s="228"/>
      <c r="AC70" s="163"/>
      <c r="AD70" s="174"/>
      <c r="AE70" s="163"/>
      <c r="AF70" s="174"/>
      <c r="AG70" s="163"/>
      <c r="AH70" s="255"/>
      <c r="AJ70" s="228"/>
      <c r="AK70" s="163"/>
      <c r="AL70" s="174"/>
      <c r="AM70" s="163"/>
      <c r="AN70" s="174"/>
      <c r="AO70" s="163"/>
      <c r="AP70" s="255"/>
      <c r="AR70" s="228"/>
      <c r="AS70" s="163"/>
      <c r="AT70" s="174"/>
      <c r="AU70" s="163"/>
      <c r="AV70" s="175"/>
      <c r="AW70" s="163"/>
      <c r="AX70" s="255">
        <v>15</v>
      </c>
    </row>
    <row r="71" spans="1:51" s="58" customFormat="1" ht="12.75">
      <c r="A71" s="57"/>
      <c r="B71" s="136"/>
      <c r="D71" s="228"/>
      <c r="E71" s="163"/>
      <c r="F71" s="174"/>
      <c r="G71" s="163"/>
      <c r="H71" s="174"/>
      <c r="I71" s="163"/>
      <c r="J71" s="255"/>
      <c r="L71" s="228"/>
      <c r="M71" s="163"/>
      <c r="N71" s="174"/>
      <c r="O71" s="163"/>
      <c r="P71" s="174"/>
      <c r="Q71" s="163"/>
      <c r="R71" s="255"/>
      <c r="T71" s="228"/>
      <c r="U71" s="163"/>
      <c r="V71" s="174"/>
      <c r="W71" s="163"/>
      <c r="X71" s="174"/>
      <c r="Y71" s="163"/>
      <c r="Z71" s="255"/>
      <c r="AB71" s="228"/>
      <c r="AC71" s="163"/>
      <c r="AD71" s="174"/>
      <c r="AE71" s="163"/>
      <c r="AF71" s="174"/>
      <c r="AG71" s="163"/>
      <c r="AH71" s="255"/>
      <c r="AJ71" s="228"/>
      <c r="AK71" s="163"/>
      <c r="AL71" s="174"/>
      <c r="AM71" s="163"/>
      <c r="AN71" s="174"/>
      <c r="AO71" s="163"/>
      <c r="AP71" s="255"/>
      <c r="AR71" s="228"/>
      <c r="AS71" s="163"/>
      <c r="AT71" s="174"/>
      <c r="AU71" s="163"/>
      <c r="AV71" s="175"/>
      <c r="AW71" s="163"/>
      <c r="AX71" s="255"/>
      <c r="AY71" s="167"/>
    </row>
    <row r="72" spans="1:50" ht="12.75">
      <c r="A72" s="61"/>
      <c r="B72" s="269" t="s">
        <v>361</v>
      </c>
      <c r="D72" s="147">
        <f aca="true" t="shared" si="47" ref="D72:J72">+D65+D67+D68+D69</f>
        <v>71</v>
      </c>
      <c r="E72" s="59">
        <f t="shared" si="47"/>
        <v>86</v>
      </c>
      <c r="F72" s="59">
        <f t="shared" si="47"/>
        <v>157</v>
      </c>
      <c r="G72" s="59">
        <f t="shared" si="47"/>
        <v>106</v>
      </c>
      <c r="H72" s="59">
        <f t="shared" si="47"/>
        <v>263</v>
      </c>
      <c r="I72" s="59">
        <f t="shared" si="47"/>
        <v>124</v>
      </c>
      <c r="J72" s="270">
        <f t="shared" si="47"/>
        <v>387</v>
      </c>
      <c r="L72" s="147">
        <f aca="true" t="shared" si="48" ref="L72:R72">+L65+L67+L68+L69</f>
        <v>124</v>
      </c>
      <c r="M72" s="59">
        <f t="shared" si="48"/>
        <v>116</v>
      </c>
      <c r="N72" s="59">
        <f t="shared" si="48"/>
        <v>240</v>
      </c>
      <c r="O72" s="59">
        <f t="shared" si="48"/>
        <v>80</v>
      </c>
      <c r="P72" s="59">
        <f t="shared" si="48"/>
        <v>320</v>
      </c>
      <c r="Q72" s="59">
        <f t="shared" si="48"/>
        <v>107</v>
      </c>
      <c r="R72" s="270">
        <f t="shared" si="48"/>
        <v>260</v>
      </c>
      <c r="T72" s="147">
        <f aca="true" t="shared" si="49" ref="T72:Z72">+T65+T67+T68+T69</f>
        <v>124</v>
      </c>
      <c r="U72" s="59">
        <f t="shared" si="49"/>
        <v>116</v>
      </c>
      <c r="V72" s="59">
        <f t="shared" si="49"/>
        <v>240</v>
      </c>
      <c r="W72" s="55">
        <f t="shared" si="49"/>
        <v>80</v>
      </c>
      <c r="X72" s="59">
        <f t="shared" si="49"/>
        <v>320</v>
      </c>
      <c r="Y72" s="55">
        <f t="shared" si="49"/>
        <v>107</v>
      </c>
      <c r="Z72" s="86">
        <f t="shared" si="49"/>
        <v>260</v>
      </c>
      <c r="AB72" s="147">
        <f aca="true" t="shared" si="50" ref="AB72:AH72">+AB65+AB67+AB68+AB69</f>
        <v>41</v>
      </c>
      <c r="AC72" s="59">
        <f t="shared" si="50"/>
        <v>53</v>
      </c>
      <c r="AD72" s="59">
        <f t="shared" si="50"/>
        <v>94</v>
      </c>
      <c r="AE72" s="55">
        <f t="shared" si="50"/>
        <v>64</v>
      </c>
      <c r="AF72" s="59">
        <f t="shared" si="50"/>
        <v>158</v>
      </c>
      <c r="AG72" s="55">
        <f t="shared" si="50"/>
        <v>-66</v>
      </c>
      <c r="AH72" s="86">
        <f t="shared" si="50"/>
        <v>-977</v>
      </c>
      <c r="AJ72" s="147">
        <f aca="true" t="shared" si="51" ref="AJ72:AP72">+AJ65+AJ67+AJ68+AJ69</f>
        <v>26</v>
      </c>
      <c r="AK72" s="59">
        <f t="shared" si="51"/>
        <v>61</v>
      </c>
      <c r="AL72" s="59">
        <f t="shared" si="51"/>
        <v>87</v>
      </c>
      <c r="AM72" s="55">
        <f t="shared" si="51"/>
        <v>52</v>
      </c>
      <c r="AN72" s="59">
        <f t="shared" si="51"/>
        <v>139</v>
      </c>
      <c r="AO72" s="55">
        <f t="shared" si="51"/>
        <v>47</v>
      </c>
      <c r="AP72" s="86">
        <f t="shared" si="51"/>
        <v>184</v>
      </c>
      <c r="AR72" s="697" t="s">
        <v>529</v>
      </c>
      <c r="AS72" s="693" t="s">
        <v>529</v>
      </c>
      <c r="AT72" s="275">
        <f>+AT65+AT67+AT68+AT69</f>
        <v>34</v>
      </c>
      <c r="AU72" s="693" t="s">
        <v>529</v>
      </c>
      <c r="AV72" s="698" t="s">
        <v>529</v>
      </c>
      <c r="AW72" s="693" t="s">
        <v>529</v>
      </c>
      <c r="AX72" s="257">
        <f>+AX65+AX67+AX68+AX69+AX70</f>
        <v>33</v>
      </c>
    </row>
    <row r="73" spans="2:50" s="104" customFormat="1" ht="12.75">
      <c r="B73" s="159"/>
      <c r="D73" s="244"/>
      <c r="F73" s="219"/>
      <c r="G73" s="55"/>
      <c r="H73" s="219"/>
      <c r="I73" s="55"/>
      <c r="J73" s="120"/>
      <c r="L73" s="244"/>
      <c r="N73" s="219"/>
      <c r="O73" s="55"/>
      <c r="P73" s="219"/>
      <c r="Q73" s="55"/>
      <c r="R73" s="120"/>
      <c r="T73" s="244"/>
      <c r="V73" s="219"/>
      <c r="W73" s="55"/>
      <c r="X73" s="219"/>
      <c r="Y73" s="55"/>
      <c r="Z73" s="120"/>
      <c r="AB73" s="244"/>
      <c r="AD73" s="219"/>
      <c r="AE73" s="55"/>
      <c r="AF73" s="219"/>
      <c r="AG73" s="55"/>
      <c r="AH73" s="120"/>
      <c r="AJ73" s="244"/>
      <c r="AL73" s="219"/>
      <c r="AM73" s="55"/>
      <c r="AN73" s="219"/>
      <c r="AO73" s="55"/>
      <c r="AP73" s="120"/>
      <c r="AR73" s="244"/>
      <c r="AS73" s="18"/>
      <c r="AT73" s="219"/>
      <c r="AU73" s="262"/>
      <c r="AV73" s="685"/>
      <c r="AW73" s="55"/>
      <c r="AX73" s="120"/>
    </row>
    <row r="74" spans="1:50" s="58" customFormat="1" ht="12.75">
      <c r="A74" s="57"/>
      <c r="B74" s="136" t="s">
        <v>158</v>
      </c>
      <c r="D74" s="224">
        <v>5</v>
      </c>
      <c r="E74" s="60">
        <f>+F74-D74</f>
        <v>6</v>
      </c>
      <c r="F74" s="229">
        <v>11</v>
      </c>
      <c r="G74" s="163">
        <f>+H74-F74</f>
        <v>6</v>
      </c>
      <c r="H74" s="174">
        <f>16+1</f>
        <v>17</v>
      </c>
      <c r="I74" s="163">
        <f>+J74-H74</f>
        <v>14</v>
      </c>
      <c r="J74" s="255">
        <v>31</v>
      </c>
      <c r="L74" s="224">
        <v>5</v>
      </c>
      <c r="M74" s="60">
        <f>+N74-L74</f>
        <v>11</v>
      </c>
      <c r="N74" s="229">
        <v>16</v>
      </c>
      <c r="O74" s="163">
        <f>+P74-N74</f>
        <v>16</v>
      </c>
      <c r="P74" s="174">
        <f>30+2</f>
        <v>32</v>
      </c>
      <c r="Q74" s="163">
        <f>+R74-P74</f>
        <v>14</v>
      </c>
      <c r="R74" s="255">
        <v>46</v>
      </c>
      <c r="T74" s="224">
        <v>5</v>
      </c>
      <c r="U74" s="60">
        <f>+V74-T74</f>
        <v>11</v>
      </c>
      <c r="V74" s="229">
        <v>16</v>
      </c>
      <c r="W74" s="163">
        <f>+X74-V74</f>
        <v>16</v>
      </c>
      <c r="X74" s="174">
        <v>32</v>
      </c>
      <c r="Y74" s="163">
        <f>+Z74-X74</f>
        <v>14</v>
      </c>
      <c r="Z74" s="255">
        <v>46</v>
      </c>
      <c r="AB74" s="224">
        <v>4</v>
      </c>
      <c r="AC74" s="60">
        <f>+AD74-AB74</f>
        <v>8</v>
      </c>
      <c r="AD74" s="229">
        <v>12</v>
      </c>
      <c r="AE74" s="163">
        <f>+AF74-AD74</f>
        <v>10</v>
      </c>
      <c r="AF74" s="174">
        <v>22</v>
      </c>
      <c r="AG74" s="163">
        <f>+AH74-AF74</f>
        <v>21</v>
      </c>
      <c r="AH74" s="255">
        <v>43</v>
      </c>
      <c r="AJ74" s="224">
        <v>8</v>
      </c>
      <c r="AK74" s="60">
        <f>+AL74-AJ74</f>
        <v>17</v>
      </c>
      <c r="AL74" s="229">
        <f>24+1</f>
        <v>25</v>
      </c>
      <c r="AM74" s="163">
        <f>AN74-AL74</f>
        <v>22</v>
      </c>
      <c r="AN74" s="174">
        <v>47</v>
      </c>
      <c r="AO74" s="163">
        <f>+AP74-AN74</f>
        <v>60</v>
      </c>
      <c r="AP74" s="255">
        <v>107</v>
      </c>
      <c r="AR74" s="383" t="s">
        <v>529</v>
      </c>
      <c r="AS74" s="115" t="s">
        <v>529</v>
      </c>
      <c r="AT74" s="229">
        <v>32</v>
      </c>
      <c r="AU74" s="115" t="s">
        <v>529</v>
      </c>
      <c r="AV74" s="175" t="s">
        <v>529</v>
      </c>
      <c r="AW74" s="115" t="s">
        <v>529</v>
      </c>
      <c r="AX74" s="255">
        <v>140</v>
      </c>
    </row>
    <row r="75" spans="1:50" ht="12.75">
      <c r="A75" s="58"/>
      <c r="B75" s="139"/>
      <c r="D75" s="224"/>
      <c r="E75" s="62"/>
      <c r="F75" s="229"/>
      <c r="G75" s="62"/>
      <c r="H75" s="229"/>
      <c r="I75" s="55"/>
      <c r="J75" s="255"/>
      <c r="L75" s="224"/>
      <c r="M75" s="62"/>
      <c r="N75" s="229"/>
      <c r="O75" s="62"/>
      <c r="P75" s="229"/>
      <c r="Q75" s="55"/>
      <c r="R75" s="255"/>
      <c r="T75" s="224"/>
      <c r="U75" s="62"/>
      <c r="V75" s="229"/>
      <c r="W75" s="62"/>
      <c r="X75" s="229"/>
      <c r="Y75" s="55"/>
      <c r="Z75" s="255"/>
      <c r="AB75" s="224"/>
      <c r="AC75" s="62"/>
      <c r="AD75" s="229"/>
      <c r="AE75" s="62"/>
      <c r="AF75" s="229"/>
      <c r="AG75" s="55"/>
      <c r="AH75" s="255"/>
      <c r="AJ75" s="224"/>
      <c r="AK75" s="62"/>
      <c r="AL75" s="229"/>
      <c r="AM75" s="62"/>
      <c r="AN75" s="229"/>
      <c r="AO75" s="55"/>
      <c r="AP75" s="255"/>
      <c r="AR75" s="383"/>
      <c r="AS75" s="264"/>
      <c r="AT75" s="229"/>
      <c r="AU75" s="264"/>
      <c r="AV75" s="229"/>
      <c r="AW75" s="55"/>
      <c r="AX75" s="255"/>
    </row>
    <row r="76" spans="2:50" ht="12" customHeight="1">
      <c r="B76" s="307" t="s">
        <v>513</v>
      </c>
      <c r="D76" s="240">
        <v>1138</v>
      </c>
      <c r="E76" s="155"/>
      <c r="F76" s="242">
        <v>1166</v>
      </c>
      <c r="G76" s="155"/>
      <c r="H76" s="242">
        <v>1138</v>
      </c>
      <c r="I76" s="156"/>
      <c r="J76" s="290">
        <v>1138</v>
      </c>
      <c r="L76" s="240">
        <v>1116</v>
      </c>
      <c r="M76" s="155"/>
      <c r="N76" s="242">
        <v>1105</v>
      </c>
      <c r="O76" s="155"/>
      <c r="P76" s="242">
        <v>1102</v>
      </c>
      <c r="Q76" s="156"/>
      <c r="R76" s="290">
        <v>1051</v>
      </c>
      <c r="T76" s="240">
        <v>1051</v>
      </c>
      <c r="U76" s="155"/>
      <c r="V76" s="242">
        <v>1051</v>
      </c>
      <c r="W76" s="155"/>
      <c r="X76" s="242">
        <v>1051</v>
      </c>
      <c r="Y76" s="156"/>
      <c r="Z76" s="290">
        <v>1051</v>
      </c>
      <c r="AB76" s="240">
        <v>1046</v>
      </c>
      <c r="AC76" s="155"/>
      <c r="AD76" s="242">
        <v>1037</v>
      </c>
      <c r="AE76" s="155"/>
      <c r="AF76" s="242">
        <v>1040</v>
      </c>
      <c r="AG76" s="156"/>
      <c r="AH76" s="290">
        <v>1030</v>
      </c>
      <c r="AJ76" s="240">
        <v>930</v>
      </c>
      <c r="AK76" s="155"/>
      <c r="AL76" s="242">
        <v>3041</v>
      </c>
      <c r="AM76" s="155"/>
      <c r="AN76" s="242">
        <v>2908</v>
      </c>
      <c r="AO76" s="156"/>
      <c r="AP76" s="290">
        <v>2949</v>
      </c>
      <c r="AR76" s="384" t="s">
        <v>529</v>
      </c>
      <c r="AS76" s="694"/>
      <c r="AT76" s="242">
        <v>3007</v>
      </c>
      <c r="AU76" s="694"/>
      <c r="AV76" s="388" t="s">
        <v>529</v>
      </c>
      <c r="AW76" s="156"/>
      <c r="AX76" s="695">
        <v>3156</v>
      </c>
    </row>
    <row r="77" spans="9:48" ht="12.75">
      <c r="I77" s="57"/>
      <c r="AV77" s="167"/>
    </row>
    <row r="78" s="49" customFormat="1" ht="12.75">
      <c r="AV78" s="167"/>
    </row>
    <row r="79" spans="2:50" s="51" customFormat="1" ht="17.25" customHeight="1">
      <c r="B79" s="132" t="s">
        <v>217</v>
      </c>
      <c r="D79" s="380" t="s">
        <v>228</v>
      </c>
      <c r="E79" s="381" t="s">
        <v>229</v>
      </c>
      <c r="F79" s="381" t="s">
        <v>230</v>
      </c>
      <c r="G79" s="381" t="s">
        <v>231</v>
      </c>
      <c r="H79" s="381" t="s">
        <v>232</v>
      </c>
      <c r="I79" s="381" t="s">
        <v>233</v>
      </c>
      <c r="J79" s="382" t="s">
        <v>234</v>
      </c>
      <c r="L79" s="380" t="s">
        <v>243</v>
      </c>
      <c r="M79" s="381" t="s">
        <v>244</v>
      </c>
      <c r="N79" s="381" t="s">
        <v>245</v>
      </c>
      <c r="O79" s="381" t="s">
        <v>246</v>
      </c>
      <c r="P79" s="381" t="s">
        <v>247</v>
      </c>
      <c r="Q79" s="381" t="s">
        <v>248</v>
      </c>
      <c r="R79" s="382" t="s">
        <v>249</v>
      </c>
      <c r="T79" s="380" t="str">
        <f aca="true" t="shared" si="52" ref="T79:Z79">+T4</f>
        <v>IQ 2014</v>
      </c>
      <c r="U79" s="381" t="str">
        <f t="shared" si="52"/>
        <v>IIQ 2014</v>
      </c>
      <c r="V79" s="381" t="str">
        <f t="shared" si="52"/>
        <v>IH 2014</v>
      </c>
      <c r="W79" s="381" t="str">
        <f t="shared" si="52"/>
        <v>III Q 2014</v>
      </c>
      <c r="X79" s="381" t="str">
        <f t="shared" si="52"/>
        <v>9M 2014</v>
      </c>
      <c r="Y79" s="381" t="str">
        <f t="shared" si="52"/>
        <v>IV Q 2014</v>
      </c>
      <c r="Z79" s="382" t="str">
        <f t="shared" si="52"/>
        <v>FY 2014</v>
      </c>
      <c r="AB79" s="380" t="str">
        <f aca="true" t="shared" si="53" ref="AB79:AH79">+AB4</f>
        <v>IQ 2015</v>
      </c>
      <c r="AC79" s="381" t="str">
        <f t="shared" si="53"/>
        <v>IIQ 2015</v>
      </c>
      <c r="AD79" s="381" t="str">
        <f t="shared" si="53"/>
        <v>IH 2015</v>
      </c>
      <c r="AE79" s="381" t="str">
        <f t="shared" si="53"/>
        <v>III Q 2015</v>
      </c>
      <c r="AF79" s="381" t="str">
        <f t="shared" si="53"/>
        <v>9M 2015</v>
      </c>
      <c r="AG79" s="381" t="str">
        <f t="shared" si="53"/>
        <v>IV Q 2015</v>
      </c>
      <c r="AH79" s="382" t="str">
        <f t="shared" si="53"/>
        <v>FY 2015</v>
      </c>
      <c r="AJ79" s="380" t="s">
        <v>289</v>
      </c>
      <c r="AK79" s="381" t="s">
        <v>290</v>
      </c>
      <c r="AL79" s="381" t="s">
        <v>291</v>
      </c>
      <c r="AM79" s="381" t="s">
        <v>292</v>
      </c>
      <c r="AN79" s="381" t="s">
        <v>293</v>
      </c>
      <c r="AO79" s="381" t="s">
        <v>294</v>
      </c>
      <c r="AP79" s="382" t="s">
        <v>365</v>
      </c>
      <c r="AR79" s="380" t="str">
        <f>+AR60</f>
        <v>IQ 2017</v>
      </c>
      <c r="AS79" s="380" t="str">
        <f aca="true" t="shared" si="54" ref="AS79:AX79">+AS60</f>
        <v>IIQ 2017</v>
      </c>
      <c r="AT79" s="380" t="str">
        <f t="shared" si="54"/>
        <v>IH 2017</v>
      </c>
      <c r="AU79" s="380" t="str">
        <f t="shared" si="54"/>
        <v>III Q 2017</v>
      </c>
      <c r="AV79" s="380" t="str">
        <f t="shared" si="54"/>
        <v>9M 2017</v>
      </c>
      <c r="AW79" s="380" t="str">
        <f t="shared" si="54"/>
        <v>IV Q 2017</v>
      </c>
      <c r="AX79" s="380" t="str">
        <f t="shared" si="54"/>
        <v>FY 2017</v>
      </c>
    </row>
    <row r="80" spans="2:50" ht="12.75">
      <c r="B80" s="157"/>
      <c r="D80" s="106"/>
      <c r="I80" s="57"/>
      <c r="J80" s="98"/>
      <c r="L80" s="106"/>
      <c r="R80" s="98"/>
      <c r="T80" s="106"/>
      <c r="Z80" s="98"/>
      <c r="AB80" s="106"/>
      <c r="AH80" s="98"/>
      <c r="AJ80" s="187"/>
      <c r="AK80" s="188"/>
      <c r="AL80" s="188"/>
      <c r="AM80" s="188"/>
      <c r="AN80" s="188"/>
      <c r="AO80" s="188"/>
      <c r="AP80" s="189"/>
      <c r="AR80" s="187"/>
      <c r="AS80" s="188"/>
      <c r="AT80" s="188"/>
      <c r="AU80" s="188"/>
      <c r="AV80" s="686"/>
      <c r="AW80" s="188"/>
      <c r="AX80" s="189"/>
    </row>
    <row r="81" spans="2:50" ht="12.75">
      <c r="B81" s="135" t="s">
        <v>159</v>
      </c>
      <c r="D81" s="272">
        <f>D7</f>
        <v>1845</v>
      </c>
      <c r="E81" s="262">
        <f>+F81-D81</f>
        <v>1202</v>
      </c>
      <c r="F81" s="262">
        <f>F7</f>
        <v>3047</v>
      </c>
      <c r="G81" s="262">
        <f>+H81-F81</f>
        <v>1299</v>
      </c>
      <c r="H81" s="262">
        <f>H7</f>
        <v>4346</v>
      </c>
      <c r="I81" s="262">
        <f>+J81-H81</f>
        <v>1652</v>
      </c>
      <c r="J81" s="257">
        <f>J7</f>
        <v>5998</v>
      </c>
      <c r="L81" s="272">
        <f>L7</f>
        <v>1495</v>
      </c>
      <c r="M81" s="262">
        <f>+N81-L81</f>
        <v>929</v>
      </c>
      <c r="N81" s="262">
        <f>N7</f>
        <v>2424</v>
      </c>
      <c r="O81" s="262">
        <f>+P81-N81</f>
        <v>981</v>
      </c>
      <c r="P81" s="262">
        <f>P7</f>
        <v>3405</v>
      </c>
      <c r="Q81" s="262">
        <f>+R81-P81</f>
        <v>1763</v>
      </c>
      <c r="R81" s="257">
        <f>R7</f>
        <v>5168</v>
      </c>
      <c r="T81" s="272">
        <f>T7</f>
        <v>1566</v>
      </c>
      <c r="U81" s="262">
        <f>+V81-T81</f>
        <v>1019</v>
      </c>
      <c r="V81" s="262">
        <f>V7</f>
        <v>2585</v>
      </c>
      <c r="W81" s="262">
        <f>+X81-V81</f>
        <v>1075</v>
      </c>
      <c r="X81" s="262">
        <f>X7</f>
        <v>3660</v>
      </c>
      <c r="Y81" s="262">
        <f>+Z81-X81</f>
        <v>1508</v>
      </c>
      <c r="Z81" s="257">
        <f>Z7</f>
        <v>5168</v>
      </c>
      <c r="AB81" s="272">
        <f>AB7</f>
        <v>1676</v>
      </c>
      <c r="AC81" s="262">
        <f>+AD81-AB81</f>
        <v>1041</v>
      </c>
      <c r="AD81" s="262">
        <f>AD7</f>
        <v>2717</v>
      </c>
      <c r="AE81" s="262">
        <f>+AF81-AD81</f>
        <v>1156</v>
      </c>
      <c r="AF81" s="262">
        <f>AF7</f>
        <v>3873</v>
      </c>
      <c r="AG81" s="262">
        <f>+AH81-AF81</f>
        <v>1639</v>
      </c>
      <c r="AH81" s="257">
        <f>AH7</f>
        <v>5512</v>
      </c>
      <c r="AJ81" s="272">
        <f>AJ7</f>
        <v>1836</v>
      </c>
      <c r="AK81" s="262">
        <f>+AL81-AJ81</f>
        <v>1275</v>
      </c>
      <c r="AL81" s="262">
        <f>+AL7</f>
        <v>3111</v>
      </c>
      <c r="AM81" s="262">
        <f>AN81-AL81</f>
        <v>1251</v>
      </c>
      <c r="AN81" s="262">
        <f>+AN7</f>
        <v>4362</v>
      </c>
      <c r="AO81" s="262">
        <f>+AP81-AN81</f>
        <v>1669</v>
      </c>
      <c r="AP81" s="257">
        <f>+AP7</f>
        <v>6031</v>
      </c>
      <c r="AR81" s="272">
        <f>+AR7</f>
        <v>1636</v>
      </c>
      <c r="AS81" s="262">
        <f>+AT81-AR81</f>
        <v>1185</v>
      </c>
      <c r="AT81" s="262">
        <f>+AT7</f>
        <v>2821</v>
      </c>
      <c r="AU81" s="262">
        <f>AV81-AT81</f>
        <v>1114</v>
      </c>
      <c r="AV81" s="262">
        <f>+AV7</f>
        <v>3935</v>
      </c>
      <c r="AW81" s="262">
        <f>+AX81-AV81</f>
        <v>1657</v>
      </c>
      <c r="AX81" s="257">
        <f>+AX7</f>
        <v>5592</v>
      </c>
    </row>
    <row r="82" spans="2:50" ht="12.75">
      <c r="B82" s="135"/>
      <c r="D82" s="243"/>
      <c r="E82" s="55"/>
      <c r="F82" s="235"/>
      <c r="G82" s="55"/>
      <c r="H82" s="235"/>
      <c r="I82" s="55"/>
      <c r="J82" s="86"/>
      <c r="L82" s="243"/>
      <c r="M82" s="55"/>
      <c r="N82" s="235"/>
      <c r="O82" s="55"/>
      <c r="P82" s="235"/>
      <c r="Q82" s="55"/>
      <c r="R82" s="86"/>
      <c r="T82" s="243"/>
      <c r="U82" s="55"/>
      <c r="V82" s="235"/>
      <c r="W82" s="55"/>
      <c r="X82" s="235"/>
      <c r="Y82" s="55"/>
      <c r="Z82" s="86"/>
      <c r="AB82" s="243"/>
      <c r="AC82" s="55"/>
      <c r="AD82" s="235"/>
      <c r="AE82" s="55"/>
      <c r="AF82" s="235"/>
      <c r="AG82" s="55"/>
      <c r="AH82" s="86"/>
      <c r="AJ82" s="243"/>
      <c r="AK82" s="55"/>
      <c r="AL82" s="235"/>
      <c r="AM82" s="55"/>
      <c r="AN82" s="235"/>
      <c r="AO82" s="55"/>
      <c r="AP82" s="86"/>
      <c r="AR82" s="243"/>
      <c r="AS82" s="55"/>
      <c r="AT82" s="235"/>
      <c r="AU82" s="55"/>
      <c r="AV82" s="235"/>
      <c r="AW82" s="55"/>
      <c r="AX82" s="86"/>
    </row>
    <row r="83" spans="1:50" ht="13.5" customHeight="1">
      <c r="A83" s="58"/>
      <c r="B83" s="313" t="s">
        <v>367</v>
      </c>
      <c r="D83" s="170">
        <f>D18</f>
        <v>-132</v>
      </c>
      <c r="E83" s="24">
        <f>+F83-D83</f>
        <v>482</v>
      </c>
      <c r="F83" s="24">
        <f>F18</f>
        <v>350</v>
      </c>
      <c r="G83" s="24">
        <f>+H83-F83</f>
        <v>23</v>
      </c>
      <c r="H83" s="24">
        <f>H18</f>
        <v>373</v>
      </c>
      <c r="I83" s="24">
        <f>+J83-H83</f>
        <v>42</v>
      </c>
      <c r="J83" s="291">
        <f>J18</f>
        <v>415</v>
      </c>
      <c r="L83" s="170">
        <f>L18</f>
        <v>49</v>
      </c>
      <c r="M83" s="24">
        <f>+N83-L83</f>
        <v>69</v>
      </c>
      <c r="N83" s="24">
        <f>N18</f>
        <v>118</v>
      </c>
      <c r="O83" s="24">
        <f>+P83-N83</f>
        <v>115</v>
      </c>
      <c r="P83" s="24">
        <f>P18</f>
        <v>233</v>
      </c>
      <c r="Q83" s="24">
        <f>+R83-P83</f>
        <v>22</v>
      </c>
      <c r="R83" s="291">
        <f>R18</f>
        <v>255</v>
      </c>
      <c r="T83" s="308">
        <f>T18</f>
        <v>49</v>
      </c>
      <c r="U83" s="24">
        <f aca="true" t="shared" si="55" ref="U83:U90">+V83-T83</f>
        <v>69</v>
      </c>
      <c r="V83" s="265">
        <f>V18</f>
        <v>118</v>
      </c>
      <c r="W83" s="24">
        <f aca="true" t="shared" si="56" ref="W83:W90">+X83-V83</f>
        <v>115</v>
      </c>
      <c r="X83" s="265">
        <f>X18</f>
        <v>233</v>
      </c>
      <c r="Y83" s="24">
        <f aca="true" t="shared" si="57" ref="Y83:Y90">+Z83-X83</f>
        <v>22</v>
      </c>
      <c r="Z83" s="257">
        <f>Z18</f>
        <v>255</v>
      </c>
      <c r="AB83" s="308">
        <f>AB18</f>
        <v>-37</v>
      </c>
      <c r="AC83" s="24">
        <f aca="true" t="shared" si="58" ref="AC83:AC90">+AD83-AB83</f>
        <v>79</v>
      </c>
      <c r="AD83" s="265">
        <f>AD18</f>
        <v>42</v>
      </c>
      <c r="AE83" s="24">
        <f aca="true" t="shared" si="59" ref="AE83:AE90">+AF83-AD83</f>
        <v>12</v>
      </c>
      <c r="AF83" s="265">
        <f>AF18</f>
        <v>54</v>
      </c>
      <c r="AG83" s="24">
        <f aca="true" t="shared" si="60" ref="AG83:AG90">+AH83-AF83</f>
        <v>1025</v>
      </c>
      <c r="AH83" s="257">
        <f>AH18</f>
        <v>1079</v>
      </c>
      <c r="AJ83" s="308">
        <f>AJ18</f>
        <v>147</v>
      </c>
      <c r="AK83" s="24">
        <f aca="true" t="shared" si="61" ref="AK83:AK90">+AL83-AJ83</f>
        <v>113</v>
      </c>
      <c r="AL83" s="265">
        <f>+AL18</f>
        <v>260</v>
      </c>
      <c r="AM83" s="24">
        <f>AN83-AL83</f>
        <v>107</v>
      </c>
      <c r="AN83" s="265">
        <f>+AN18</f>
        <v>367</v>
      </c>
      <c r="AO83" s="24">
        <f>+AP83-AN83</f>
        <v>138</v>
      </c>
      <c r="AP83" s="257">
        <f>+AP18</f>
        <v>505</v>
      </c>
      <c r="AR83" s="308">
        <f>+AR18</f>
        <v>181</v>
      </c>
      <c r="AS83" s="24">
        <f>+AT83-AR83</f>
        <v>166</v>
      </c>
      <c r="AT83" s="265">
        <f>+AT18</f>
        <v>347</v>
      </c>
      <c r="AU83" s="24">
        <f>AV83-AT83</f>
        <v>133</v>
      </c>
      <c r="AV83" s="265">
        <f>+AV18</f>
        <v>480</v>
      </c>
      <c r="AW83" s="24">
        <f>+AX83-AV83</f>
        <v>157</v>
      </c>
      <c r="AX83" s="257">
        <f>+AX18</f>
        <v>637</v>
      </c>
    </row>
    <row r="84" spans="1:50" ht="13.5" customHeight="1">
      <c r="A84" s="58"/>
      <c r="B84" s="162" t="s">
        <v>511</v>
      </c>
      <c r="D84" s="164"/>
      <c r="E84" s="163"/>
      <c r="F84" s="163"/>
      <c r="G84" s="163"/>
      <c r="H84" s="163"/>
      <c r="I84" s="163"/>
      <c r="J84" s="273"/>
      <c r="L84" s="164"/>
      <c r="M84" s="163"/>
      <c r="N84" s="163"/>
      <c r="O84" s="163"/>
      <c r="P84" s="163"/>
      <c r="Q84" s="163"/>
      <c r="R84" s="273"/>
      <c r="T84" s="274"/>
      <c r="U84" s="163"/>
      <c r="V84" s="19"/>
      <c r="W84" s="163"/>
      <c r="X84" s="19"/>
      <c r="Y84" s="163"/>
      <c r="Z84" s="80"/>
      <c r="AB84" s="274"/>
      <c r="AC84" s="163"/>
      <c r="AD84" s="19"/>
      <c r="AE84" s="163"/>
      <c r="AF84" s="19"/>
      <c r="AG84" s="163"/>
      <c r="AH84" s="80"/>
      <c r="AJ84" s="274"/>
      <c r="AK84" s="163"/>
      <c r="AL84" s="19"/>
      <c r="AM84" s="163"/>
      <c r="AN84" s="19"/>
      <c r="AO84" s="163"/>
      <c r="AP84" s="80"/>
      <c r="AR84" s="274"/>
      <c r="AS84" s="163"/>
      <c r="AT84" s="19"/>
      <c r="AU84" s="163"/>
      <c r="AV84" s="19"/>
      <c r="AW84" s="163"/>
      <c r="AX84" s="80"/>
    </row>
    <row r="85" spans="1:50" ht="13.5" customHeight="1">
      <c r="A85" s="58"/>
      <c r="B85" s="162" t="s">
        <v>497</v>
      </c>
      <c r="D85" s="164">
        <f aca="true" t="shared" si="62" ref="D85:J86">+D20</f>
        <v>106</v>
      </c>
      <c r="E85" s="163">
        <f t="shared" si="62"/>
        <v>108</v>
      </c>
      <c r="F85" s="163">
        <f t="shared" si="62"/>
        <v>214</v>
      </c>
      <c r="G85" s="163">
        <f t="shared" si="62"/>
        <v>119</v>
      </c>
      <c r="H85" s="163">
        <f t="shared" si="62"/>
        <v>333</v>
      </c>
      <c r="I85" s="163">
        <f t="shared" si="62"/>
        <v>111</v>
      </c>
      <c r="J85" s="273">
        <f t="shared" si="62"/>
        <v>444</v>
      </c>
      <c r="L85" s="164">
        <f aca="true" t="shared" si="63" ref="L85:R86">+L20</f>
        <v>103</v>
      </c>
      <c r="M85" s="163">
        <f t="shared" si="63"/>
        <v>113</v>
      </c>
      <c r="N85" s="163">
        <f t="shared" si="63"/>
        <v>216</v>
      </c>
      <c r="O85" s="163">
        <f t="shared" si="63"/>
        <v>102</v>
      </c>
      <c r="P85" s="163">
        <f t="shared" si="63"/>
        <v>318</v>
      </c>
      <c r="Q85" s="163">
        <f t="shared" si="63"/>
        <v>109</v>
      </c>
      <c r="R85" s="273">
        <f t="shared" si="63"/>
        <v>427</v>
      </c>
      <c r="T85" s="274">
        <f>T20</f>
        <v>103</v>
      </c>
      <c r="U85" s="163">
        <f t="shared" si="55"/>
        <v>113</v>
      </c>
      <c r="V85" s="19">
        <f>V20</f>
        <v>216</v>
      </c>
      <c r="W85" s="163">
        <f t="shared" si="56"/>
        <v>102</v>
      </c>
      <c r="X85" s="19">
        <f>X20</f>
        <v>318</v>
      </c>
      <c r="Y85" s="163">
        <f t="shared" si="57"/>
        <v>109</v>
      </c>
      <c r="Z85" s="80">
        <f>Z20</f>
        <v>427</v>
      </c>
      <c r="AB85" s="274">
        <f>AB20</f>
        <v>65</v>
      </c>
      <c r="AC85" s="163">
        <f t="shared" si="58"/>
        <v>80</v>
      </c>
      <c r="AD85" s="19">
        <f>AD20</f>
        <v>145</v>
      </c>
      <c r="AE85" s="163">
        <f t="shared" si="59"/>
        <v>47</v>
      </c>
      <c r="AF85" s="19">
        <f>AF20</f>
        <v>192</v>
      </c>
      <c r="AG85" s="163">
        <f t="shared" si="60"/>
        <v>51</v>
      </c>
      <c r="AH85" s="80">
        <f>AH20</f>
        <v>243</v>
      </c>
      <c r="AJ85" s="274">
        <f>AJ20</f>
        <v>37</v>
      </c>
      <c r="AK85" s="163">
        <f t="shared" si="61"/>
        <v>46</v>
      </c>
      <c r="AL85" s="19">
        <f>+AL20</f>
        <v>83</v>
      </c>
      <c r="AM85" s="163">
        <f>AN85-AL85</f>
        <v>69</v>
      </c>
      <c r="AN85" s="19">
        <f>+AN20</f>
        <v>152</v>
      </c>
      <c r="AO85" s="163">
        <f>+AP85-AN85</f>
        <v>30</v>
      </c>
      <c r="AP85" s="80">
        <f>+AP20</f>
        <v>182</v>
      </c>
      <c r="AR85" s="274">
        <f>+AR20</f>
        <v>60</v>
      </c>
      <c r="AS85" s="163">
        <f>+AT85-AR85</f>
        <v>83</v>
      </c>
      <c r="AT85" s="19">
        <f>+AT20</f>
        <v>143</v>
      </c>
      <c r="AU85" s="163">
        <f>AV85-AT85</f>
        <v>60</v>
      </c>
      <c r="AV85" s="19">
        <f>+AV20</f>
        <v>203</v>
      </c>
      <c r="AW85" s="163">
        <f>+AX85-AV85</f>
        <v>60</v>
      </c>
      <c r="AX85" s="80">
        <f>+AX20</f>
        <v>263</v>
      </c>
    </row>
    <row r="86" spans="1:50" ht="13.5" customHeight="1">
      <c r="A86" s="58"/>
      <c r="B86" s="162" t="s">
        <v>360</v>
      </c>
      <c r="D86" s="164">
        <f t="shared" si="62"/>
        <v>-238</v>
      </c>
      <c r="E86" s="163">
        <f t="shared" si="62"/>
        <v>374</v>
      </c>
      <c r="F86" s="163">
        <f t="shared" si="62"/>
        <v>136</v>
      </c>
      <c r="G86" s="163">
        <f t="shared" si="62"/>
        <v>-96</v>
      </c>
      <c r="H86" s="163">
        <f t="shared" si="62"/>
        <v>40</v>
      </c>
      <c r="I86" s="163">
        <f t="shared" si="62"/>
        <v>-69</v>
      </c>
      <c r="J86" s="273">
        <f t="shared" si="62"/>
        <v>-29</v>
      </c>
      <c r="L86" s="164">
        <f t="shared" si="63"/>
        <v>-54</v>
      </c>
      <c r="M86" s="163">
        <f t="shared" si="63"/>
        <v>-44</v>
      </c>
      <c r="N86" s="163">
        <f t="shared" si="63"/>
        <v>-98</v>
      </c>
      <c r="O86" s="163">
        <f t="shared" si="63"/>
        <v>13</v>
      </c>
      <c r="P86" s="163">
        <f t="shared" si="63"/>
        <v>-85</v>
      </c>
      <c r="Q86" s="163">
        <f t="shared" si="63"/>
        <v>-87</v>
      </c>
      <c r="R86" s="273">
        <f t="shared" si="63"/>
        <v>-172</v>
      </c>
      <c r="T86" s="274">
        <f>T21</f>
        <v>-54</v>
      </c>
      <c r="U86" s="163">
        <f t="shared" si="55"/>
        <v>-44</v>
      </c>
      <c r="V86" s="19">
        <f>V21</f>
        <v>-98</v>
      </c>
      <c r="W86" s="163">
        <f t="shared" si="56"/>
        <v>13</v>
      </c>
      <c r="X86" s="19">
        <f>X21</f>
        <v>-85</v>
      </c>
      <c r="Y86" s="163">
        <f t="shared" si="57"/>
        <v>-87</v>
      </c>
      <c r="Z86" s="80">
        <f>Z21</f>
        <v>-172</v>
      </c>
      <c r="AB86" s="274">
        <f>AB21</f>
        <v>-102</v>
      </c>
      <c r="AC86" s="163">
        <f t="shared" si="58"/>
        <v>-1</v>
      </c>
      <c r="AD86" s="19">
        <f>AD21</f>
        <v>-103</v>
      </c>
      <c r="AE86" s="163">
        <f t="shared" si="59"/>
        <v>-35</v>
      </c>
      <c r="AF86" s="19">
        <f>AF21</f>
        <v>-138</v>
      </c>
      <c r="AG86" s="163">
        <f t="shared" si="60"/>
        <v>974</v>
      </c>
      <c r="AH86" s="80">
        <f>AH21</f>
        <v>836</v>
      </c>
      <c r="AJ86" s="274">
        <f>AJ21</f>
        <v>110</v>
      </c>
      <c r="AK86" s="163">
        <f t="shared" si="61"/>
        <v>67</v>
      </c>
      <c r="AL86" s="19">
        <f>+AL21</f>
        <v>177</v>
      </c>
      <c r="AM86" s="163">
        <f>AN86-AL86</f>
        <v>38</v>
      </c>
      <c r="AN86" s="19">
        <f>+AN21</f>
        <v>215</v>
      </c>
      <c r="AO86" s="163">
        <f>+AP86-AN86</f>
        <v>108</v>
      </c>
      <c r="AP86" s="80">
        <f>+AP21</f>
        <v>323</v>
      </c>
      <c r="AR86" s="274">
        <f>+AR21</f>
        <v>121</v>
      </c>
      <c r="AS86" s="163">
        <f>+AT86-AR86</f>
        <v>83</v>
      </c>
      <c r="AT86" s="19">
        <f>+AT21</f>
        <v>204</v>
      </c>
      <c r="AU86" s="163">
        <f>AV86-AT86</f>
        <v>73</v>
      </c>
      <c r="AV86" s="19">
        <f>+AV21</f>
        <v>277</v>
      </c>
      <c r="AW86" s="163">
        <f>+AX86-AV86</f>
        <v>97</v>
      </c>
      <c r="AX86" s="80">
        <f>+AX21</f>
        <v>374</v>
      </c>
    </row>
    <row r="87" spans="1:50" ht="13.5" customHeight="1">
      <c r="A87" s="58"/>
      <c r="B87" s="138" t="s">
        <v>1</v>
      </c>
      <c r="D87" s="236">
        <v>-127</v>
      </c>
      <c r="E87" s="55">
        <f>+F87-D87</f>
        <v>488</v>
      </c>
      <c r="F87" s="233">
        <v>361</v>
      </c>
      <c r="G87" s="55">
        <f>+H87-F87</f>
        <v>27</v>
      </c>
      <c r="H87" s="233">
        <v>388</v>
      </c>
      <c r="I87" s="55">
        <f>+J87-H87</f>
        <v>37</v>
      </c>
      <c r="J87" s="271">
        <v>425</v>
      </c>
      <c r="L87" s="236">
        <v>52</v>
      </c>
      <c r="M87" s="55">
        <f>+N87-L87</f>
        <v>74</v>
      </c>
      <c r="N87" s="233">
        <v>126</v>
      </c>
      <c r="O87" s="55">
        <f>+P87-N87</f>
        <v>125</v>
      </c>
      <c r="P87" s="233">
        <v>251</v>
      </c>
      <c r="Q87" s="55">
        <f>+R87-P87</f>
        <v>42</v>
      </c>
      <c r="R87" s="271">
        <v>293</v>
      </c>
      <c r="T87" s="277">
        <v>52</v>
      </c>
      <c r="U87" s="276">
        <f>+V87-T87</f>
        <v>74</v>
      </c>
      <c r="V87" s="233">
        <v>126</v>
      </c>
      <c r="W87" s="276">
        <f>+X87-V87</f>
        <v>125</v>
      </c>
      <c r="X87" s="233">
        <v>251</v>
      </c>
      <c r="Y87" s="276">
        <f>+Z87-X87</f>
        <v>42</v>
      </c>
      <c r="Z87" s="271">
        <v>293</v>
      </c>
      <c r="AB87" s="277">
        <v>-23</v>
      </c>
      <c r="AC87" s="23">
        <f>+AD87-AB87</f>
        <v>70</v>
      </c>
      <c r="AD87" s="233">
        <v>47</v>
      </c>
      <c r="AE87" s="23">
        <f>+AF87-AD87</f>
        <v>-31</v>
      </c>
      <c r="AF87" s="233">
        <v>16</v>
      </c>
      <c r="AG87" s="23">
        <f>+AH87-AF87</f>
        <v>979</v>
      </c>
      <c r="AH87" s="271">
        <v>995</v>
      </c>
      <c r="AJ87" s="277">
        <v>119</v>
      </c>
      <c r="AK87" s="23">
        <f>+AL87-AJ87</f>
        <v>74</v>
      </c>
      <c r="AL87" s="233">
        <v>193</v>
      </c>
      <c r="AM87" s="23">
        <f>AN87-AL87</f>
        <v>67</v>
      </c>
      <c r="AN87" s="233">
        <v>260</v>
      </c>
      <c r="AO87" s="23">
        <f>+AP87-AN87</f>
        <v>101</v>
      </c>
      <c r="AP87" s="271">
        <v>361</v>
      </c>
      <c r="AR87" s="277">
        <v>175</v>
      </c>
      <c r="AS87" s="23">
        <f>+AT87-AR87</f>
        <v>161</v>
      </c>
      <c r="AT87" s="233">
        <v>336</v>
      </c>
      <c r="AU87" s="23">
        <f>AV87-AT87</f>
        <v>126</v>
      </c>
      <c r="AV87" s="233">
        <v>462</v>
      </c>
      <c r="AW87" s="23">
        <f>+AX87-AV87</f>
        <v>151</v>
      </c>
      <c r="AX87" s="271">
        <v>613</v>
      </c>
    </row>
    <row r="88" spans="1:50" ht="13.5" customHeight="1">
      <c r="A88" s="58"/>
      <c r="B88" s="138"/>
      <c r="D88" s="236"/>
      <c r="E88" s="55"/>
      <c r="F88" s="233"/>
      <c r="G88" s="55"/>
      <c r="H88" s="233"/>
      <c r="I88" s="55"/>
      <c r="J88" s="271"/>
      <c r="L88" s="236"/>
      <c r="M88" s="55"/>
      <c r="N88" s="233"/>
      <c r="O88" s="55"/>
      <c r="P88" s="233"/>
      <c r="Q88" s="55"/>
      <c r="R88" s="271"/>
      <c r="T88" s="277"/>
      <c r="U88" s="276"/>
      <c r="V88" s="233"/>
      <c r="W88" s="276"/>
      <c r="X88" s="233"/>
      <c r="Y88" s="276"/>
      <c r="Z88" s="271"/>
      <c r="AB88" s="277"/>
      <c r="AC88" s="23"/>
      <c r="AD88" s="233"/>
      <c r="AE88" s="23"/>
      <c r="AF88" s="233"/>
      <c r="AG88" s="23"/>
      <c r="AH88" s="271"/>
      <c r="AJ88" s="277"/>
      <c r="AK88" s="23"/>
      <c r="AL88" s="233"/>
      <c r="AM88" s="23"/>
      <c r="AN88" s="233"/>
      <c r="AO88" s="23"/>
      <c r="AP88" s="271"/>
      <c r="AR88" s="277"/>
      <c r="AS88" s="23"/>
      <c r="AT88" s="233"/>
      <c r="AU88" s="23"/>
      <c r="AV88" s="233"/>
      <c r="AW88" s="23"/>
      <c r="AX88" s="271"/>
    </row>
    <row r="89" spans="1:50" s="58" customFormat="1" ht="12.75">
      <c r="A89" s="57"/>
      <c r="B89" s="136" t="s">
        <v>285</v>
      </c>
      <c r="D89" s="228">
        <v>-7</v>
      </c>
      <c r="E89" s="60">
        <f>+F89-D89</f>
        <v>3</v>
      </c>
      <c r="F89" s="222">
        <v>-4</v>
      </c>
      <c r="G89" s="60">
        <f>+H89-F89</f>
        <v>-2</v>
      </c>
      <c r="H89" s="222">
        <v>-6</v>
      </c>
      <c r="I89" s="60">
        <f>+J89-H89</f>
        <v>-25</v>
      </c>
      <c r="J89" s="247">
        <v>-31</v>
      </c>
      <c r="L89" s="228">
        <v>136</v>
      </c>
      <c r="M89" s="60">
        <f>+N89-L89</f>
        <v>20</v>
      </c>
      <c r="N89" s="222">
        <v>156</v>
      </c>
      <c r="O89" s="60">
        <f>+P89-N89</f>
        <v>-39</v>
      </c>
      <c r="P89" s="222">
        <v>117</v>
      </c>
      <c r="Q89" s="60">
        <f>+R89-P89</f>
        <v>127</v>
      </c>
      <c r="R89" s="247">
        <v>244</v>
      </c>
      <c r="T89" s="228">
        <v>136</v>
      </c>
      <c r="U89" s="60">
        <f t="shared" si="55"/>
        <v>20</v>
      </c>
      <c r="V89" s="222">
        <v>156</v>
      </c>
      <c r="W89" s="60">
        <f t="shared" si="56"/>
        <v>-39</v>
      </c>
      <c r="X89" s="222">
        <v>117</v>
      </c>
      <c r="Y89" s="60">
        <f t="shared" si="57"/>
        <v>127</v>
      </c>
      <c r="Z89" s="247">
        <v>244</v>
      </c>
      <c r="AB89" s="228">
        <v>-17</v>
      </c>
      <c r="AC89" s="60">
        <f t="shared" si="58"/>
        <v>-37</v>
      </c>
      <c r="AD89" s="222">
        <v>-54</v>
      </c>
      <c r="AE89" s="163">
        <f t="shared" si="59"/>
        <v>90</v>
      </c>
      <c r="AF89" s="222">
        <v>36</v>
      </c>
      <c r="AG89" s="163">
        <f t="shared" si="60"/>
        <v>141</v>
      </c>
      <c r="AH89" s="247">
        <v>177</v>
      </c>
      <c r="AJ89" s="228">
        <v>-90</v>
      </c>
      <c r="AK89" s="60">
        <f t="shared" si="61"/>
        <v>13</v>
      </c>
      <c r="AL89" s="222">
        <v>-77</v>
      </c>
      <c r="AM89" s="163">
        <f aca="true" t="shared" si="64" ref="AM89:AM95">AN89-AL89</f>
        <v>-61</v>
      </c>
      <c r="AN89" s="222">
        <v>-138</v>
      </c>
      <c r="AO89" s="163">
        <f aca="true" t="shared" si="65" ref="AO89:AO95">+AP89-AN89</f>
        <v>-39</v>
      </c>
      <c r="AP89" s="247">
        <v>-177</v>
      </c>
      <c r="AR89" s="349" t="s">
        <v>529</v>
      </c>
      <c r="AS89" s="115" t="s">
        <v>529</v>
      </c>
      <c r="AT89" s="222">
        <v>-166</v>
      </c>
      <c r="AU89" s="115" t="s">
        <v>529</v>
      </c>
      <c r="AV89" s="687" t="s">
        <v>529</v>
      </c>
      <c r="AW89" s="115" t="s">
        <v>529</v>
      </c>
      <c r="AX89" s="247">
        <v>-225</v>
      </c>
    </row>
    <row r="90" spans="1:50" s="58" customFormat="1" ht="12.75">
      <c r="A90" s="57"/>
      <c r="B90" s="172" t="s">
        <v>378</v>
      </c>
      <c r="D90" s="228">
        <v>-56</v>
      </c>
      <c r="E90" s="60">
        <f>+F90-D90</f>
        <v>-55</v>
      </c>
      <c r="F90" s="222">
        <v>-111</v>
      </c>
      <c r="G90" s="60">
        <f>+H90-F90</f>
        <v>-59</v>
      </c>
      <c r="H90" s="222">
        <v>-170</v>
      </c>
      <c r="I90" s="60">
        <f>+J90-H90</f>
        <v>-112</v>
      </c>
      <c r="J90" s="247">
        <v>-282</v>
      </c>
      <c r="L90" s="228">
        <v>-68</v>
      </c>
      <c r="M90" s="60">
        <f>+N90-L90</f>
        <v>-57</v>
      </c>
      <c r="N90" s="222">
        <v>-125</v>
      </c>
      <c r="O90" s="60">
        <f>+P90-N90</f>
        <v>-64</v>
      </c>
      <c r="P90" s="222">
        <v>-189</v>
      </c>
      <c r="Q90" s="60">
        <f>+R90-P90</f>
        <v>-92</v>
      </c>
      <c r="R90" s="247">
        <v>-281</v>
      </c>
      <c r="T90" s="228">
        <v>-68</v>
      </c>
      <c r="U90" s="60">
        <f t="shared" si="55"/>
        <v>-57</v>
      </c>
      <c r="V90" s="222">
        <v>-125</v>
      </c>
      <c r="W90" s="60">
        <f t="shared" si="56"/>
        <v>-64</v>
      </c>
      <c r="X90" s="222">
        <v>-189</v>
      </c>
      <c r="Y90" s="60">
        <f t="shared" si="57"/>
        <v>-92</v>
      </c>
      <c r="Z90" s="247">
        <v>-281</v>
      </c>
      <c r="AB90" s="228">
        <v>-90</v>
      </c>
      <c r="AC90" s="60">
        <f t="shared" si="58"/>
        <v>-80</v>
      </c>
      <c r="AD90" s="222">
        <v>-170</v>
      </c>
      <c r="AE90" s="60">
        <f t="shared" si="59"/>
        <v>-90</v>
      </c>
      <c r="AF90" s="222">
        <v>-260</v>
      </c>
      <c r="AG90" s="60">
        <f t="shared" si="60"/>
        <v>-141</v>
      </c>
      <c r="AH90" s="247">
        <v>-401</v>
      </c>
      <c r="AJ90" s="228">
        <v>-69</v>
      </c>
      <c r="AK90" s="60">
        <f t="shared" si="61"/>
        <v>-66</v>
      </c>
      <c r="AL90" s="222">
        <v>-135</v>
      </c>
      <c r="AM90" s="60">
        <f t="shared" si="64"/>
        <v>-65</v>
      </c>
      <c r="AN90" s="222">
        <v>-200</v>
      </c>
      <c r="AO90" s="60">
        <f t="shared" si="65"/>
        <v>-59</v>
      </c>
      <c r="AP90" s="247">
        <v>-259</v>
      </c>
      <c r="AR90" s="349" t="s">
        <v>529</v>
      </c>
      <c r="AS90" s="115" t="s">
        <v>529</v>
      </c>
      <c r="AT90" s="222">
        <v>-124</v>
      </c>
      <c r="AU90" s="115" t="s">
        <v>529</v>
      </c>
      <c r="AV90" s="687" t="s">
        <v>529</v>
      </c>
      <c r="AW90" s="115" t="s">
        <v>529</v>
      </c>
      <c r="AX90" s="247">
        <v>-252</v>
      </c>
    </row>
    <row r="91" spans="1:50" s="58" customFormat="1" ht="12.75">
      <c r="A91" s="57"/>
      <c r="B91" s="136" t="s">
        <v>377</v>
      </c>
      <c r="D91" s="228"/>
      <c r="E91" s="60"/>
      <c r="F91" s="222"/>
      <c r="G91" s="60"/>
      <c r="H91" s="222"/>
      <c r="I91" s="60">
        <f>+J91-H91</f>
        <v>-54</v>
      </c>
      <c r="J91" s="247">
        <f>-49-5</f>
        <v>-54</v>
      </c>
      <c r="L91" s="228"/>
      <c r="M91" s="60"/>
      <c r="N91" s="222"/>
      <c r="O91" s="60"/>
      <c r="P91" s="222"/>
      <c r="Q91" s="60">
        <f>+R91-P91</f>
        <v>-72</v>
      </c>
      <c r="R91" s="247">
        <f>-33-39</f>
        <v>-72</v>
      </c>
      <c r="T91" s="228"/>
      <c r="U91" s="60"/>
      <c r="V91" s="222"/>
      <c r="W91" s="60"/>
      <c r="X91" s="222"/>
      <c r="Y91" s="60">
        <f>+Z91-X91</f>
        <v>-72</v>
      </c>
      <c r="Z91" s="247">
        <f>-33-39</f>
        <v>-72</v>
      </c>
      <c r="AB91" s="228"/>
      <c r="AC91" s="60">
        <f>+AD91-AB91</f>
        <v>-11</v>
      </c>
      <c r="AD91" s="222">
        <v>-11</v>
      </c>
      <c r="AE91" s="60">
        <f>+AF91-AD91</f>
        <v>0</v>
      </c>
      <c r="AF91" s="222">
        <v>-11</v>
      </c>
      <c r="AG91" s="60">
        <f>+AH91-AF91</f>
        <v>-454</v>
      </c>
      <c r="AH91" s="247">
        <f>-244-219-2</f>
        <v>-465</v>
      </c>
      <c r="AJ91" s="228"/>
      <c r="AK91" s="60"/>
      <c r="AL91" s="222"/>
      <c r="AM91" s="60"/>
      <c r="AN91" s="222"/>
      <c r="AO91" s="60">
        <f>+AP91-AN91</f>
        <v>-254</v>
      </c>
      <c r="AP91" s="247">
        <f>-217-37</f>
        <v>-254</v>
      </c>
      <c r="AR91" s="228"/>
      <c r="AS91" s="163"/>
      <c r="AT91" s="222"/>
      <c r="AU91" s="163"/>
      <c r="AV91" s="687"/>
      <c r="AW91" s="60">
        <f>+AX91-AV91</f>
        <v>-120</v>
      </c>
      <c r="AX91" s="247">
        <v>-120</v>
      </c>
    </row>
    <row r="92" spans="1:50" s="58" customFormat="1" ht="12.75">
      <c r="A92" s="57"/>
      <c r="B92" s="136"/>
      <c r="D92" s="228"/>
      <c r="E92" s="60"/>
      <c r="F92" s="222"/>
      <c r="G92" s="60"/>
      <c r="H92" s="222"/>
      <c r="I92" s="60"/>
      <c r="J92" s="247"/>
      <c r="L92" s="228"/>
      <c r="M92" s="60"/>
      <c r="N92" s="222"/>
      <c r="O92" s="60"/>
      <c r="P92" s="222"/>
      <c r="Q92" s="60"/>
      <c r="R92" s="247"/>
      <c r="T92" s="228"/>
      <c r="U92" s="60"/>
      <c r="V92" s="222"/>
      <c r="W92" s="60"/>
      <c r="X92" s="222"/>
      <c r="Y92" s="60"/>
      <c r="Z92" s="247"/>
      <c r="AB92" s="228"/>
      <c r="AC92" s="60"/>
      <c r="AD92" s="222"/>
      <c r="AE92" s="60"/>
      <c r="AF92" s="222"/>
      <c r="AG92" s="60"/>
      <c r="AH92" s="247"/>
      <c r="AJ92" s="228"/>
      <c r="AK92" s="60"/>
      <c r="AL92" s="222"/>
      <c r="AM92" s="60"/>
      <c r="AN92" s="222"/>
      <c r="AO92" s="60"/>
      <c r="AP92" s="247"/>
      <c r="AR92" s="228"/>
      <c r="AS92" s="163"/>
      <c r="AT92" s="222"/>
      <c r="AU92" s="163"/>
      <c r="AV92" s="687"/>
      <c r="AW92" s="60"/>
      <c r="AX92" s="247"/>
    </row>
    <row r="93" spans="2:50" ht="12.75">
      <c r="B93" s="269" t="s">
        <v>361</v>
      </c>
      <c r="D93" s="147">
        <f aca="true" t="shared" si="66" ref="D93:J93">+D87+D89+D90+D91</f>
        <v>-190</v>
      </c>
      <c r="E93" s="55">
        <f t="shared" si="66"/>
        <v>436</v>
      </c>
      <c r="F93" s="59">
        <f t="shared" si="66"/>
        <v>246</v>
      </c>
      <c r="G93" s="55">
        <f t="shared" si="66"/>
        <v>-34</v>
      </c>
      <c r="H93" s="59">
        <f t="shared" si="66"/>
        <v>212</v>
      </c>
      <c r="I93" s="55">
        <f t="shared" si="66"/>
        <v>-154</v>
      </c>
      <c r="J93" s="86">
        <f t="shared" si="66"/>
        <v>58</v>
      </c>
      <c r="L93" s="147">
        <f aca="true" t="shared" si="67" ref="L93:R93">+L87+L89+L90+L91</f>
        <v>120</v>
      </c>
      <c r="M93" s="55">
        <f t="shared" si="67"/>
        <v>37</v>
      </c>
      <c r="N93" s="59">
        <f t="shared" si="67"/>
        <v>157</v>
      </c>
      <c r="O93" s="55">
        <f t="shared" si="67"/>
        <v>22</v>
      </c>
      <c r="P93" s="59">
        <f t="shared" si="67"/>
        <v>179</v>
      </c>
      <c r="Q93" s="55">
        <f t="shared" si="67"/>
        <v>5</v>
      </c>
      <c r="R93" s="86">
        <f t="shared" si="67"/>
        <v>184</v>
      </c>
      <c r="T93" s="147">
        <f aca="true" t="shared" si="68" ref="T93:Z93">+T87+T89+T90+T91</f>
        <v>120</v>
      </c>
      <c r="U93" s="55">
        <f t="shared" si="68"/>
        <v>37</v>
      </c>
      <c r="V93" s="59">
        <f t="shared" si="68"/>
        <v>157</v>
      </c>
      <c r="W93" s="55">
        <f t="shared" si="68"/>
        <v>22</v>
      </c>
      <c r="X93" s="59">
        <f t="shared" si="68"/>
        <v>179</v>
      </c>
      <c r="Y93" s="55">
        <f t="shared" si="68"/>
        <v>5</v>
      </c>
      <c r="Z93" s="86">
        <f t="shared" si="68"/>
        <v>184</v>
      </c>
      <c r="AB93" s="147">
        <f aca="true" t="shared" si="69" ref="AB93:AH93">+AB87+AB89+AB90+AB91</f>
        <v>-130</v>
      </c>
      <c r="AC93" s="55">
        <f t="shared" si="69"/>
        <v>-58</v>
      </c>
      <c r="AD93" s="59">
        <f t="shared" si="69"/>
        <v>-188</v>
      </c>
      <c r="AE93" s="55">
        <f t="shared" si="69"/>
        <v>-31</v>
      </c>
      <c r="AF93" s="59">
        <f t="shared" si="69"/>
        <v>-219</v>
      </c>
      <c r="AG93" s="55">
        <f t="shared" si="69"/>
        <v>525</v>
      </c>
      <c r="AH93" s="86">
        <f t="shared" si="69"/>
        <v>306</v>
      </c>
      <c r="AJ93" s="147">
        <f aca="true" t="shared" si="70" ref="AJ93:AP93">+AJ87+AJ89+AJ90+AJ91</f>
        <v>-40</v>
      </c>
      <c r="AK93" s="55">
        <f t="shared" si="70"/>
        <v>21</v>
      </c>
      <c r="AL93" s="59">
        <f t="shared" si="70"/>
        <v>-19</v>
      </c>
      <c r="AM93" s="55">
        <f t="shared" si="70"/>
        <v>-59</v>
      </c>
      <c r="AN93" s="59">
        <f t="shared" si="70"/>
        <v>-78</v>
      </c>
      <c r="AO93" s="55">
        <f t="shared" si="70"/>
        <v>-251</v>
      </c>
      <c r="AP93" s="86">
        <f t="shared" si="70"/>
        <v>-329</v>
      </c>
      <c r="AR93" s="697" t="s">
        <v>529</v>
      </c>
      <c r="AS93" s="693" t="s">
        <v>529</v>
      </c>
      <c r="AT93" s="275">
        <f>+AT87+AT89+AT90+AT91</f>
        <v>46</v>
      </c>
      <c r="AU93" s="693" t="s">
        <v>529</v>
      </c>
      <c r="AV93" s="698" t="s">
        <v>529</v>
      </c>
      <c r="AW93" s="693" t="s">
        <v>529</v>
      </c>
      <c r="AX93" s="257">
        <f>+AX87+AX89+AX90+AX91</f>
        <v>16</v>
      </c>
    </row>
    <row r="94" spans="2:50" s="104" customFormat="1" ht="12.75">
      <c r="B94" s="159"/>
      <c r="D94" s="244"/>
      <c r="F94" s="219"/>
      <c r="H94" s="219"/>
      <c r="I94" s="55"/>
      <c r="J94" s="120"/>
      <c r="L94" s="244"/>
      <c r="N94" s="219"/>
      <c r="P94" s="219"/>
      <c r="Q94" s="55"/>
      <c r="R94" s="120"/>
      <c r="T94" s="244"/>
      <c r="V94" s="219"/>
      <c r="X94" s="219"/>
      <c r="Y94" s="55"/>
      <c r="Z94" s="120"/>
      <c r="AB94" s="244"/>
      <c r="AD94" s="219"/>
      <c r="AF94" s="219"/>
      <c r="AG94" s="55"/>
      <c r="AH94" s="120"/>
      <c r="AJ94" s="244"/>
      <c r="AL94" s="219"/>
      <c r="AN94" s="219"/>
      <c r="AO94" s="55"/>
      <c r="AP94" s="120"/>
      <c r="AR94" s="244"/>
      <c r="AS94" s="262"/>
      <c r="AT94" s="219"/>
      <c r="AU94" s="262"/>
      <c r="AV94" s="685"/>
      <c r="AW94" s="55"/>
      <c r="AX94" s="120"/>
    </row>
    <row r="95" spans="2:50" s="58" customFormat="1" ht="12.75">
      <c r="B95" s="136" t="s">
        <v>170</v>
      </c>
      <c r="D95" s="223">
        <v>43</v>
      </c>
      <c r="E95" s="60">
        <f>+F95-D95</f>
        <v>50</v>
      </c>
      <c r="F95" s="222">
        <v>93</v>
      </c>
      <c r="G95" s="60">
        <f>+H95-F95</f>
        <v>44</v>
      </c>
      <c r="H95" s="222">
        <f>87+44+6</f>
        <v>137</v>
      </c>
      <c r="I95" s="60">
        <f>+J95-H95</f>
        <v>90</v>
      </c>
      <c r="J95" s="247">
        <v>227</v>
      </c>
      <c r="L95" s="223">
        <v>68</v>
      </c>
      <c r="M95" s="60">
        <f>+N95-L95</f>
        <v>57</v>
      </c>
      <c r="N95" s="222">
        <v>125</v>
      </c>
      <c r="O95" s="60">
        <f>+P95-N95</f>
        <v>86</v>
      </c>
      <c r="P95" s="222">
        <f>153+46+12</f>
        <v>211</v>
      </c>
      <c r="Q95" s="60">
        <f>+R95-P95</f>
        <v>126</v>
      </c>
      <c r="R95" s="247">
        <v>337</v>
      </c>
      <c r="T95" s="223">
        <v>68</v>
      </c>
      <c r="U95" s="60">
        <f>+V95-T95</f>
        <v>57</v>
      </c>
      <c r="V95" s="222">
        <v>125</v>
      </c>
      <c r="W95" s="60">
        <f>+X95-V95</f>
        <v>86</v>
      </c>
      <c r="X95" s="222">
        <v>211</v>
      </c>
      <c r="Y95" s="60">
        <f>+Z95-X95</f>
        <v>126</v>
      </c>
      <c r="Z95" s="247">
        <v>337</v>
      </c>
      <c r="AB95" s="223">
        <v>94</v>
      </c>
      <c r="AC95" s="60">
        <f>+AD95-AB95</f>
        <v>150</v>
      </c>
      <c r="AD95" s="222">
        <v>244</v>
      </c>
      <c r="AE95" s="60">
        <f>+AF95-AD95</f>
        <v>118</v>
      </c>
      <c r="AF95" s="222">
        <v>362</v>
      </c>
      <c r="AG95" s="60">
        <f>+AH95-AF95</f>
        <v>117</v>
      </c>
      <c r="AH95" s="247">
        <v>479</v>
      </c>
      <c r="AJ95" s="223">
        <v>86</v>
      </c>
      <c r="AK95" s="60">
        <f>+AL95-AJ95</f>
        <v>73</v>
      </c>
      <c r="AL95" s="222">
        <v>159</v>
      </c>
      <c r="AM95" s="60">
        <f t="shared" si="64"/>
        <v>-9</v>
      </c>
      <c r="AN95" s="222">
        <v>150</v>
      </c>
      <c r="AO95" s="60">
        <f t="shared" si="65"/>
        <v>142</v>
      </c>
      <c r="AP95" s="247">
        <v>292</v>
      </c>
      <c r="AR95" s="385" t="s">
        <v>529</v>
      </c>
      <c r="AS95" s="115" t="s">
        <v>529</v>
      </c>
      <c r="AT95" s="222">
        <v>161</v>
      </c>
      <c r="AU95" s="115" t="s">
        <v>529</v>
      </c>
      <c r="AV95" s="687" t="s">
        <v>529</v>
      </c>
      <c r="AW95" s="115" t="s">
        <v>529</v>
      </c>
      <c r="AX95" s="247">
        <v>310</v>
      </c>
    </row>
    <row r="96" spans="2:50" ht="12.75">
      <c r="B96" s="139"/>
      <c r="D96" s="224"/>
      <c r="E96" s="62"/>
      <c r="F96" s="222"/>
      <c r="G96" s="62"/>
      <c r="H96" s="222"/>
      <c r="I96" s="55"/>
      <c r="J96" s="247"/>
      <c r="L96" s="224"/>
      <c r="M96" s="62"/>
      <c r="N96" s="222"/>
      <c r="O96" s="62"/>
      <c r="P96" s="222"/>
      <c r="Q96" s="55"/>
      <c r="R96" s="247"/>
      <c r="T96" s="224"/>
      <c r="U96" s="62"/>
      <c r="V96" s="222"/>
      <c r="W96" s="62"/>
      <c r="X96" s="222"/>
      <c r="Y96" s="55"/>
      <c r="Z96" s="247"/>
      <c r="AB96" s="224"/>
      <c r="AC96" s="62"/>
      <c r="AD96" s="222"/>
      <c r="AE96" s="62"/>
      <c r="AF96" s="222"/>
      <c r="AG96" s="55"/>
      <c r="AH96" s="247"/>
      <c r="AJ96" s="224"/>
      <c r="AK96" s="62"/>
      <c r="AL96" s="222"/>
      <c r="AM96" s="62"/>
      <c r="AN96" s="222"/>
      <c r="AO96" s="55"/>
      <c r="AP96" s="247"/>
      <c r="AR96" s="383"/>
      <c r="AS96" s="62"/>
      <c r="AT96" s="222"/>
      <c r="AU96" s="62"/>
      <c r="AV96" s="687"/>
      <c r="AW96" s="55"/>
      <c r="AX96" s="247"/>
    </row>
    <row r="97" spans="2:50" ht="12.75">
      <c r="B97" s="307" t="s">
        <v>513</v>
      </c>
      <c r="D97" s="240">
        <v>1415</v>
      </c>
      <c r="E97" s="155"/>
      <c r="F97" s="241">
        <v>1403</v>
      </c>
      <c r="G97" s="155"/>
      <c r="H97" s="241">
        <v>1415</v>
      </c>
      <c r="I97" s="156"/>
      <c r="J97" s="256">
        <v>1415</v>
      </c>
      <c r="L97" s="240">
        <v>1415</v>
      </c>
      <c r="M97" s="155"/>
      <c r="N97" s="241">
        <v>1411</v>
      </c>
      <c r="O97" s="155"/>
      <c r="P97" s="241">
        <v>1410</v>
      </c>
      <c r="Q97" s="156"/>
      <c r="R97" s="256">
        <v>1419</v>
      </c>
      <c r="T97" s="240">
        <v>1419</v>
      </c>
      <c r="U97" s="155"/>
      <c r="V97" s="241">
        <v>1419</v>
      </c>
      <c r="W97" s="155"/>
      <c r="X97" s="241">
        <v>1419</v>
      </c>
      <c r="Y97" s="156"/>
      <c r="Z97" s="256">
        <v>1419</v>
      </c>
      <c r="AB97" s="240">
        <v>1428</v>
      </c>
      <c r="AC97" s="155"/>
      <c r="AD97" s="241">
        <v>1415</v>
      </c>
      <c r="AE97" s="155"/>
      <c r="AF97" s="241">
        <v>1416</v>
      </c>
      <c r="AG97" s="156"/>
      <c r="AH97" s="256">
        <v>1414</v>
      </c>
      <c r="AJ97" s="240">
        <v>1395</v>
      </c>
      <c r="AK97" s="155"/>
      <c r="AL97" s="241">
        <v>1382</v>
      </c>
      <c r="AM97" s="155"/>
      <c r="AN97" s="241">
        <v>1368</v>
      </c>
      <c r="AO97" s="156"/>
      <c r="AP97" s="256">
        <v>1379</v>
      </c>
      <c r="AR97" s="384" t="s">
        <v>529</v>
      </c>
      <c r="AS97" s="388"/>
      <c r="AT97" s="241">
        <v>1352</v>
      </c>
      <c r="AU97" s="155"/>
      <c r="AV97" s="688" t="s">
        <v>529</v>
      </c>
      <c r="AW97" s="156"/>
      <c r="AX97" s="696">
        <v>1359</v>
      </c>
    </row>
    <row r="98" spans="2:48" ht="12.75">
      <c r="B98" s="68"/>
      <c r="I98" s="57"/>
      <c r="AV98" s="167"/>
    </row>
    <row r="99" s="49" customFormat="1" ht="12.75">
      <c r="AV99" s="167"/>
    </row>
    <row r="100" spans="2:50" s="51" customFormat="1" ht="17.25" customHeight="1">
      <c r="B100" s="132" t="s">
        <v>218</v>
      </c>
      <c r="D100" s="380" t="s">
        <v>228</v>
      </c>
      <c r="E100" s="381" t="s">
        <v>229</v>
      </c>
      <c r="F100" s="381" t="s">
        <v>230</v>
      </c>
      <c r="G100" s="381" t="s">
        <v>231</v>
      </c>
      <c r="H100" s="381" t="s">
        <v>232</v>
      </c>
      <c r="I100" s="381" t="s">
        <v>233</v>
      </c>
      <c r="J100" s="382" t="s">
        <v>234</v>
      </c>
      <c r="L100" s="380" t="s">
        <v>243</v>
      </c>
      <c r="M100" s="381" t="s">
        <v>244</v>
      </c>
      <c r="N100" s="381" t="s">
        <v>245</v>
      </c>
      <c r="O100" s="381" t="s">
        <v>246</v>
      </c>
      <c r="P100" s="381" t="s">
        <v>247</v>
      </c>
      <c r="Q100" s="381" t="s">
        <v>248</v>
      </c>
      <c r="R100" s="382" t="s">
        <v>249</v>
      </c>
      <c r="T100" s="380" t="str">
        <f aca="true" t="shared" si="71" ref="T100:Z100">+T4</f>
        <v>IQ 2014</v>
      </c>
      <c r="U100" s="381" t="str">
        <f t="shared" si="71"/>
        <v>IIQ 2014</v>
      </c>
      <c r="V100" s="381" t="str">
        <f t="shared" si="71"/>
        <v>IH 2014</v>
      </c>
      <c r="W100" s="381" t="str">
        <f t="shared" si="71"/>
        <v>III Q 2014</v>
      </c>
      <c r="X100" s="381" t="str">
        <f t="shared" si="71"/>
        <v>9M 2014</v>
      </c>
      <c r="Y100" s="381" t="str">
        <f t="shared" si="71"/>
        <v>IV Q 2014</v>
      </c>
      <c r="Z100" s="382" t="str">
        <f t="shared" si="71"/>
        <v>FY 2014</v>
      </c>
      <c r="AB100" s="380" t="str">
        <f aca="true" t="shared" si="72" ref="AB100:AH100">+AB4</f>
        <v>IQ 2015</v>
      </c>
      <c r="AC100" s="381" t="str">
        <f t="shared" si="72"/>
        <v>IIQ 2015</v>
      </c>
      <c r="AD100" s="381" t="str">
        <f t="shared" si="72"/>
        <v>IH 2015</v>
      </c>
      <c r="AE100" s="381" t="str">
        <f t="shared" si="72"/>
        <v>III Q 2015</v>
      </c>
      <c r="AF100" s="381" t="str">
        <f t="shared" si="72"/>
        <v>9M 2015</v>
      </c>
      <c r="AG100" s="381" t="str">
        <f t="shared" si="72"/>
        <v>IV Q 2015</v>
      </c>
      <c r="AH100" s="382" t="str">
        <f t="shared" si="72"/>
        <v>FY 2015</v>
      </c>
      <c r="AJ100" s="380" t="s">
        <v>289</v>
      </c>
      <c r="AK100" s="381" t="s">
        <v>290</v>
      </c>
      <c r="AL100" s="381" t="s">
        <v>291</v>
      </c>
      <c r="AM100" s="381" t="s">
        <v>292</v>
      </c>
      <c r="AN100" s="381" t="s">
        <v>293</v>
      </c>
      <c r="AO100" s="381" t="s">
        <v>294</v>
      </c>
      <c r="AP100" s="382" t="s">
        <v>365</v>
      </c>
      <c r="AR100" s="380" t="str">
        <f>+AR79</f>
        <v>IQ 2017</v>
      </c>
      <c r="AS100" s="380" t="str">
        <f aca="true" t="shared" si="73" ref="AS100:AX100">+AS79</f>
        <v>IIQ 2017</v>
      </c>
      <c r="AT100" s="380" t="str">
        <f t="shared" si="73"/>
        <v>IH 2017</v>
      </c>
      <c r="AU100" s="380" t="str">
        <f t="shared" si="73"/>
        <v>III Q 2017</v>
      </c>
      <c r="AV100" s="380" t="str">
        <f t="shared" si="73"/>
        <v>9M 2017</v>
      </c>
      <c r="AW100" s="380" t="str">
        <f t="shared" si="73"/>
        <v>IV Q 2017</v>
      </c>
      <c r="AX100" s="380" t="str">
        <f t="shared" si="73"/>
        <v>FY 2017</v>
      </c>
    </row>
    <row r="101" spans="2:50" ht="12.75">
      <c r="B101" s="157"/>
      <c r="D101" s="187"/>
      <c r="E101" s="188"/>
      <c r="F101" s="188"/>
      <c r="G101" s="188"/>
      <c r="H101" s="188"/>
      <c r="I101" s="188"/>
      <c r="J101" s="189"/>
      <c r="L101" s="187"/>
      <c r="M101" s="188"/>
      <c r="N101" s="188"/>
      <c r="O101" s="188"/>
      <c r="P101" s="188"/>
      <c r="Q101" s="188"/>
      <c r="R101" s="189"/>
      <c r="T101" s="187"/>
      <c r="U101" s="188"/>
      <c r="V101" s="188"/>
      <c r="W101" s="188"/>
      <c r="X101" s="188"/>
      <c r="Y101" s="188"/>
      <c r="Z101" s="189"/>
      <c r="AB101" s="187"/>
      <c r="AC101" s="188"/>
      <c r="AD101" s="188"/>
      <c r="AE101" s="188"/>
      <c r="AF101" s="188"/>
      <c r="AG101" s="188"/>
      <c r="AH101" s="189"/>
      <c r="AJ101" s="187"/>
      <c r="AK101" s="188"/>
      <c r="AL101" s="188"/>
      <c r="AM101" s="188"/>
      <c r="AN101" s="188"/>
      <c r="AO101" s="188"/>
      <c r="AP101" s="189"/>
      <c r="AR101" s="187"/>
      <c r="AS101" s="188"/>
      <c r="AT101" s="188"/>
      <c r="AU101" s="188"/>
      <c r="AV101" s="686"/>
      <c r="AW101" s="188"/>
      <c r="AX101" s="189"/>
    </row>
    <row r="102" spans="2:50" ht="12.75">
      <c r="B102" s="135" t="s">
        <v>137</v>
      </c>
      <c r="D102" s="106"/>
      <c r="E102" s="161"/>
      <c r="I102" s="57"/>
      <c r="J102" s="98"/>
      <c r="L102" s="106"/>
      <c r="M102" s="161"/>
      <c r="R102" s="98"/>
      <c r="T102" s="106"/>
      <c r="U102" s="161"/>
      <c r="Z102" s="98"/>
      <c r="AB102" s="106"/>
      <c r="AC102" s="161"/>
      <c r="AH102" s="98"/>
      <c r="AJ102" s="106"/>
      <c r="AK102" s="161"/>
      <c r="AP102" s="98"/>
      <c r="AR102" s="106"/>
      <c r="AS102" s="161"/>
      <c r="AV102" s="167"/>
      <c r="AX102" s="98"/>
    </row>
    <row r="103" spans="2:50" s="58" customFormat="1" ht="12.75">
      <c r="B103" s="158" t="s">
        <v>114</v>
      </c>
      <c r="D103" s="228">
        <v>4007</v>
      </c>
      <c r="E103" s="19">
        <f>+F103-D103</f>
        <v>2494</v>
      </c>
      <c r="F103" s="222">
        <v>6501</v>
      </c>
      <c r="G103" s="19">
        <f>+H103-F103</f>
        <v>3211</v>
      </c>
      <c r="H103" s="222">
        <v>9712</v>
      </c>
      <c r="I103" s="19">
        <f>+J103-H103</f>
        <v>3791</v>
      </c>
      <c r="J103" s="252">
        <v>13503</v>
      </c>
      <c r="L103" s="228">
        <v>3187</v>
      </c>
      <c r="M103" s="19">
        <f>+N103-L103</f>
        <v>2438</v>
      </c>
      <c r="N103" s="222">
        <v>5625</v>
      </c>
      <c r="O103" s="19">
        <f>+P103-N103</f>
        <v>2816</v>
      </c>
      <c r="P103" s="222">
        <v>8441</v>
      </c>
      <c r="Q103" s="19">
        <f>+R103-P103</f>
        <v>3315</v>
      </c>
      <c r="R103" s="252">
        <v>11756</v>
      </c>
      <c r="T103" s="228">
        <v>3197</v>
      </c>
      <c r="U103" s="19">
        <f>+V103-T103</f>
        <v>2428</v>
      </c>
      <c r="V103" s="222">
        <v>5625</v>
      </c>
      <c r="W103" s="19">
        <f>+X103-V103</f>
        <v>2816</v>
      </c>
      <c r="X103" s="222">
        <v>8441</v>
      </c>
      <c r="Y103" s="19">
        <f>+Z103-X103</f>
        <v>3315</v>
      </c>
      <c r="Z103" s="252">
        <v>11756</v>
      </c>
      <c r="AB103" s="228">
        <v>3706</v>
      </c>
      <c r="AC103" s="19">
        <f>+AD103-AB103</f>
        <v>3007</v>
      </c>
      <c r="AD103" s="222">
        <v>6713</v>
      </c>
      <c r="AE103" s="19">
        <f>+AF103-AD103</f>
        <v>4161</v>
      </c>
      <c r="AF103" s="222">
        <v>10874</v>
      </c>
      <c r="AG103" s="19">
        <f>+AH103-AF103</f>
        <v>3242</v>
      </c>
      <c r="AH103" s="252">
        <v>14116</v>
      </c>
      <c r="AJ103" s="228">
        <v>3918</v>
      </c>
      <c r="AK103" s="19">
        <f>+AL103-AJ103</f>
        <v>3342</v>
      </c>
      <c r="AL103" s="222">
        <v>7260</v>
      </c>
      <c r="AM103" s="19">
        <f>+AN103-AL103</f>
        <v>4443</v>
      </c>
      <c r="AN103" s="222">
        <v>11703</v>
      </c>
      <c r="AO103" s="19">
        <f>+AP103-AN103</f>
        <v>5062</v>
      </c>
      <c r="AP103" s="252">
        <v>16765</v>
      </c>
      <c r="AR103" s="228">
        <v>4682</v>
      </c>
      <c r="AS103" s="19">
        <f>+AT103-AR103</f>
        <v>3733</v>
      </c>
      <c r="AT103" s="222">
        <v>8415</v>
      </c>
      <c r="AU103" s="19">
        <f>+AV103-AT103</f>
        <v>4086</v>
      </c>
      <c r="AV103" s="222">
        <v>12501</v>
      </c>
      <c r="AW103" s="19">
        <f>+AX103-AV103</f>
        <v>3968</v>
      </c>
      <c r="AX103" s="252">
        <v>16469</v>
      </c>
    </row>
    <row r="104" spans="2:50" s="58" customFormat="1" ht="12.75">
      <c r="B104" s="160" t="s">
        <v>115</v>
      </c>
      <c r="D104" s="228">
        <v>500</v>
      </c>
      <c r="E104" s="19">
        <f>+F104-D104</f>
        <v>1479</v>
      </c>
      <c r="F104" s="222">
        <v>1979</v>
      </c>
      <c r="G104" s="19">
        <f>+H104-F104</f>
        <v>1104</v>
      </c>
      <c r="H104" s="222">
        <v>3083</v>
      </c>
      <c r="I104" s="19">
        <f>+J104-H104</f>
        <v>946</v>
      </c>
      <c r="J104" s="252">
        <v>4029</v>
      </c>
      <c r="L104" s="228">
        <v>835</v>
      </c>
      <c r="M104" s="19">
        <f>+N104-L104</f>
        <v>1532</v>
      </c>
      <c r="N104" s="222">
        <v>2367</v>
      </c>
      <c r="O104" s="19">
        <f>+P104-N104</f>
        <v>1511</v>
      </c>
      <c r="P104" s="222">
        <v>3878</v>
      </c>
      <c r="Q104" s="19">
        <f>+R104-P104</f>
        <v>1076</v>
      </c>
      <c r="R104" s="252">
        <v>4954</v>
      </c>
      <c r="T104" s="228">
        <v>835</v>
      </c>
      <c r="U104" s="19">
        <f>+V104-T104</f>
        <v>1532</v>
      </c>
      <c r="V104" s="222">
        <v>2367</v>
      </c>
      <c r="W104" s="19">
        <f>+X104-V104</f>
        <v>1511</v>
      </c>
      <c r="X104" s="222">
        <v>3878</v>
      </c>
      <c r="Y104" s="19">
        <f>+Z104-X104</f>
        <v>1076</v>
      </c>
      <c r="Z104" s="252">
        <v>4954</v>
      </c>
      <c r="AB104" s="228">
        <v>590</v>
      </c>
      <c r="AC104" s="19">
        <f>+AD104-AB104</f>
        <v>1050</v>
      </c>
      <c r="AD104" s="222">
        <v>1640</v>
      </c>
      <c r="AE104" s="19">
        <f>+AF104-AD104</f>
        <v>1033</v>
      </c>
      <c r="AF104" s="222">
        <v>2673</v>
      </c>
      <c r="AG104" s="19">
        <f>+AH104-AF104</f>
        <v>705</v>
      </c>
      <c r="AH104" s="252">
        <v>3378</v>
      </c>
      <c r="AJ104" s="228">
        <v>304</v>
      </c>
      <c r="AK104" s="19">
        <f>+AL104-AJ104</f>
        <v>870</v>
      </c>
      <c r="AL104" s="222">
        <v>1174</v>
      </c>
      <c r="AM104" s="19">
        <f>+AN104-AL104</f>
        <v>746</v>
      </c>
      <c r="AN104" s="222">
        <v>1920</v>
      </c>
      <c r="AO104" s="19">
        <f>+AP104-AN104</f>
        <v>570</v>
      </c>
      <c r="AP104" s="252">
        <v>2490</v>
      </c>
      <c r="AR104" s="228">
        <v>337</v>
      </c>
      <c r="AS104" s="19">
        <f>+AT104-AR104</f>
        <v>704</v>
      </c>
      <c r="AT104" s="222">
        <v>1041</v>
      </c>
      <c r="AU104" s="19">
        <f>+AV104-AT104</f>
        <v>720</v>
      </c>
      <c r="AV104" s="222">
        <v>1761</v>
      </c>
      <c r="AW104" s="19">
        <f>+AX104-AV104</f>
        <v>448</v>
      </c>
      <c r="AX104" s="252">
        <v>2209</v>
      </c>
    </row>
    <row r="105" spans="2:50" s="58" customFormat="1" ht="12.75">
      <c r="B105" s="158" t="s">
        <v>180</v>
      </c>
      <c r="D105" s="228">
        <v>289</v>
      </c>
      <c r="E105" s="19">
        <f>+F105-D105</f>
        <v>216</v>
      </c>
      <c r="F105" s="222">
        <v>505</v>
      </c>
      <c r="G105" s="19">
        <f>+H105-F105</f>
        <v>125</v>
      </c>
      <c r="H105" s="222">
        <v>630</v>
      </c>
      <c r="I105" s="19">
        <f>+J105-H105</f>
        <v>246</v>
      </c>
      <c r="J105" s="252">
        <v>876</v>
      </c>
      <c r="L105" s="228">
        <v>290</v>
      </c>
      <c r="M105" s="19">
        <f>+N105-L105</f>
        <v>190</v>
      </c>
      <c r="N105" s="222">
        <v>480</v>
      </c>
      <c r="O105" s="19">
        <f>+P105-N105</f>
        <v>158</v>
      </c>
      <c r="P105" s="222">
        <v>638</v>
      </c>
      <c r="Q105" s="19">
        <f>+R105-P105</f>
        <v>268</v>
      </c>
      <c r="R105" s="252">
        <v>906</v>
      </c>
      <c r="T105" s="228">
        <v>280</v>
      </c>
      <c r="U105" s="19">
        <f>+V105-T105</f>
        <v>200</v>
      </c>
      <c r="V105" s="222">
        <v>480</v>
      </c>
      <c r="W105" s="19">
        <f>+X105-V105</f>
        <v>158</v>
      </c>
      <c r="X105" s="222">
        <v>638</v>
      </c>
      <c r="Y105" s="19">
        <f>+Z105-X105</f>
        <v>268</v>
      </c>
      <c r="Z105" s="252">
        <v>906</v>
      </c>
      <c r="AB105" s="228">
        <v>330</v>
      </c>
      <c r="AC105" s="19">
        <f>+AD105-AB105</f>
        <v>286</v>
      </c>
      <c r="AD105" s="222">
        <v>616</v>
      </c>
      <c r="AE105" s="19">
        <f>+AF105-AD105</f>
        <v>176</v>
      </c>
      <c r="AF105" s="222">
        <v>792</v>
      </c>
      <c r="AG105" s="19">
        <f>+AH105-AF105</f>
        <v>195</v>
      </c>
      <c r="AH105" s="252">
        <v>987</v>
      </c>
      <c r="AJ105" s="228">
        <v>369</v>
      </c>
      <c r="AK105" s="19">
        <f>+AL105-AJ105</f>
        <v>276</v>
      </c>
      <c r="AL105" s="222">
        <v>645</v>
      </c>
      <c r="AM105" s="19">
        <f>+AN105-AL105</f>
        <v>188</v>
      </c>
      <c r="AN105" s="222">
        <v>833</v>
      </c>
      <c r="AO105" s="19">
        <f>+AP105-AN105</f>
        <v>270</v>
      </c>
      <c r="AP105" s="252">
        <v>1103</v>
      </c>
      <c r="AR105" s="228">
        <v>324</v>
      </c>
      <c r="AS105" s="19">
        <f>+AT105-AR105</f>
        <v>218</v>
      </c>
      <c r="AT105" s="222">
        <v>542</v>
      </c>
      <c r="AU105" s="19">
        <f>+AV105-AT105</f>
        <v>213</v>
      </c>
      <c r="AV105" s="222">
        <v>755</v>
      </c>
      <c r="AW105" s="19">
        <f>+AX105-AV105</f>
        <v>309</v>
      </c>
      <c r="AX105" s="252">
        <v>1064</v>
      </c>
    </row>
    <row r="106" spans="2:50" s="58" customFormat="1" ht="12.75">
      <c r="B106" s="139" t="s">
        <v>138</v>
      </c>
      <c r="D106" s="228">
        <v>8968</v>
      </c>
      <c r="E106" s="19">
        <f>+F106-D106</f>
        <v>18632</v>
      </c>
      <c r="F106" s="222">
        <v>27600</v>
      </c>
      <c r="G106" s="19">
        <f>+H106-F106</f>
        <v>13088</v>
      </c>
      <c r="H106" s="222">
        <v>40688</v>
      </c>
      <c r="I106" s="19">
        <f>+J106-H106</f>
        <v>14719</v>
      </c>
      <c r="J106" s="252">
        <v>55407</v>
      </c>
      <c r="L106" s="228">
        <v>10717</v>
      </c>
      <c r="M106" s="19">
        <f>+N106-L106</f>
        <v>25850</v>
      </c>
      <c r="N106" s="222">
        <v>36567</v>
      </c>
      <c r="O106" s="19">
        <f>+P106-N106</f>
        <v>21909</v>
      </c>
      <c r="P106" s="222">
        <v>58476</v>
      </c>
      <c r="Q106" s="19">
        <f>+R106-P106</f>
        <v>20088</v>
      </c>
      <c r="R106" s="252">
        <v>78564</v>
      </c>
      <c r="T106" s="228">
        <v>17986</v>
      </c>
      <c r="U106" s="19">
        <f>+V106-T106</f>
        <v>18581</v>
      </c>
      <c r="V106" s="222">
        <v>36567</v>
      </c>
      <c r="W106" s="19">
        <f>+X106-V106</f>
        <v>21909</v>
      </c>
      <c r="X106" s="222">
        <v>58476</v>
      </c>
      <c r="Y106" s="19">
        <f>+Z106-X106</f>
        <v>19439</v>
      </c>
      <c r="Z106" s="252">
        <v>77915</v>
      </c>
      <c r="AB106" s="228">
        <v>17470</v>
      </c>
      <c r="AC106" s="19">
        <f>+AD106-AB106</f>
        <v>17619</v>
      </c>
      <c r="AD106" s="222">
        <v>35089</v>
      </c>
      <c r="AE106" s="19">
        <f>+AF106-AD106</f>
        <v>18225</v>
      </c>
      <c r="AF106" s="222">
        <v>53314</v>
      </c>
      <c r="AG106" s="19">
        <f>+AH106-AF106</f>
        <v>17638</v>
      </c>
      <c r="AH106" s="252">
        <v>70952</v>
      </c>
      <c r="AJ106" s="228">
        <v>18497</v>
      </c>
      <c r="AK106" s="19">
        <f>+AL106-AJ106</f>
        <v>17625</v>
      </c>
      <c r="AL106" s="222">
        <v>36122</v>
      </c>
      <c r="AM106" s="19">
        <f>+AN106-AL106</f>
        <v>17963</v>
      </c>
      <c r="AN106" s="222">
        <v>54085</v>
      </c>
      <c r="AO106" s="19">
        <f>+AP106-AN106</f>
        <v>16751</v>
      </c>
      <c r="AP106" s="252">
        <v>70836</v>
      </c>
      <c r="AR106" s="228">
        <v>14872</v>
      </c>
      <c r="AS106" s="19">
        <f>+AT106-AR106</f>
        <v>13811</v>
      </c>
      <c r="AT106" s="222">
        <v>28683</v>
      </c>
      <c r="AU106" s="19">
        <f>+AV106-AT106</f>
        <v>12890</v>
      </c>
      <c r="AV106" s="222">
        <v>41573</v>
      </c>
      <c r="AW106" s="19">
        <f>+AX106-AV106</f>
        <v>12429</v>
      </c>
      <c r="AX106" s="252">
        <v>54002</v>
      </c>
    </row>
    <row r="107" spans="2:50" ht="12.75">
      <c r="B107" s="278" t="s">
        <v>362</v>
      </c>
      <c r="D107" s="170">
        <f>+D103+D104+D105+D106</f>
        <v>13764</v>
      </c>
      <c r="E107" s="24">
        <f aca="true" t="shared" si="74" ref="E107:J107">+E103+E104+E105+E106</f>
        <v>22821</v>
      </c>
      <c r="F107" s="24">
        <f t="shared" si="74"/>
        <v>36585</v>
      </c>
      <c r="G107" s="24">
        <f t="shared" si="74"/>
        <v>17528</v>
      </c>
      <c r="H107" s="24">
        <f t="shared" si="74"/>
        <v>54113</v>
      </c>
      <c r="I107" s="24">
        <f t="shared" si="74"/>
        <v>19702</v>
      </c>
      <c r="J107" s="291">
        <f t="shared" si="74"/>
        <v>73815</v>
      </c>
      <c r="K107" s="145"/>
      <c r="L107" s="170">
        <f>+L103+L104+L105+L106</f>
        <v>15029</v>
      </c>
      <c r="M107" s="24">
        <f aca="true" t="shared" si="75" ref="M107:R107">+M103+M104+M105+M106</f>
        <v>30010</v>
      </c>
      <c r="N107" s="24">
        <f t="shared" si="75"/>
        <v>45039</v>
      </c>
      <c r="O107" s="24">
        <f t="shared" si="75"/>
        <v>26394</v>
      </c>
      <c r="P107" s="24">
        <f t="shared" si="75"/>
        <v>71433</v>
      </c>
      <c r="Q107" s="24">
        <f t="shared" si="75"/>
        <v>24747</v>
      </c>
      <c r="R107" s="291">
        <f t="shared" si="75"/>
        <v>96180</v>
      </c>
      <c r="S107" s="145"/>
      <c r="T107" s="170">
        <f>+T103+T104+T105+T106</f>
        <v>22298</v>
      </c>
      <c r="U107" s="24">
        <f aca="true" t="shared" si="76" ref="U107:Z107">+U103+U104+U105+U106</f>
        <v>22741</v>
      </c>
      <c r="V107" s="24">
        <f t="shared" si="76"/>
        <v>45039</v>
      </c>
      <c r="W107" s="24">
        <f t="shared" si="76"/>
        <v>26394</v>
      </c>
      <c r="X107" s="24">
        <f t="shared" si="76"/>
        <v>71433</v>
      </c>
      <c r="Y107" s="24">
        <f t="shared" si="76"/>
        <v>24098</v>
      </c>
      <c r="Z107" s="291">
        <f t="shared" si="76"/>
        <v>95531</v>
      </c>
      <c r="AA107" s="145"/>
      <c r="AB107" s="170">
        <f>+AB103+AB104+AB105+AB106</f>
        <v>22096</v>
      </c>
      <c r="AC107" s="24">
        <f aca="true" t="shared" si="77" ref="AC107:AH107">+AC103+AC104+AC105+AC106</f>
        <v>21962</v>
      </c>
      <c r="AD107" s="24">
        <f t="shared" si="77"/>
        <v>44058</v>
      </c>
      <c r="AE107" s="24">
        <f t="shared" si="77"/>
        <v>23595</v>
      </c>
      <c r="AF107" s="24">
        <f t="shared" si="77"/>
        <v>67653</v>
      </c>
      <c r="AG107" s="24">
        <f t="shared" si="77"/>
        <v>21780</v>
      </c>
      <c r="AH107" s="291">
        <f t="shared" si="77"/>
        <v>89433</v>
      </c>
      <c r="AI107" s="145"/>
      <c r="AJ107" s="170">
        <f>+AJ103+AJ104+AJ105+AJ106</f>
        <v>23088</v>
      </c>
      <c r="AK107" s="24">
        <f aca="true" t="shared" si="78" ref="AK107:AP107">+AK103+AK104+AK105+AK106</f>
        <v>22113</v>
      </c>
      <c r="AL107" s="24">
        <f t="shared" si="78"/>
        <v>45201</v>
      </c>
      <c r="AM107" s="24">
        <f t="shared" si="78"/>
        <v>23340</v>
      </c>
      <c r="AN107" s="24">
        <f t="shared" si="78"/>
        <v>68541</v>
      </c>
      <c r="AO107" s="24">
        <f t="shared" si="78"/>
        <v>22653</v>
      </c>
      <c r="AP107" s="291">
        <f t="shared" si="78"/>
        <v>91194</v>
      </c>
      <c r="AR107" s="170">
        <f>+SUM(AR103:AR106)</f>
        <v>20215</v>
      </c>
      <c r="AS107" s="24">
        <f aca="true" t="shared" si="79" ref="AS107:AX107">+AS103+AS104+AS105+AS106</f>
        <v>18466</v>
      </c>
      <c r="AT107" s="24">
        <f t="shared" si="79"/>
        <v>38681</v>
      </c>
      <c r="AU107" s="24">
        <f t="shared" si="79"/>
        <v>17909</v>
      </c>
      <c r="AV107" s="24">
        <f t="shared" si="79"/>
        <v>56590</v>
      </c>
      <c r="AW107" s="24">
        <f t="shared" si="79"/>
        <v>17154</v>
      </c>
      <c r="AX107" s="291">
        <f t="shared" si="79"/>
        <v>73744</v>
      </c>
    </row>
    <row r="108" spans="2:50" ht="12.75">
      <c r="B108" s="162"/>
      <c r="D108" s="106"/>
      <c r="F108" s="40"/>
      <c r="H108" s="40"/>
      <c r="I108" s="19"/>
      <c r="J108" s="88"/>
      <c r="L108" s="106"/>
      <c r="N108" s="40"/>
      <c r="P108" s="40"/>
      <c r="Q108" s="19"/>
      <c r="R108" s="88"/>
      <c r="T108" s="106"/>
      <c r="V108" s="40"/>
      <c r="X108" s="40"/>
      <c r="Y108" s="19"/>
      <c r="Z108" s="88"/>
      <c r="AB108" s="106"/>
      <c r="AD108" s="40"/>
      <c r="AF108" s="40"/>
      <c r="AG108" s="19"/>
      <c r="AH108" s="88"/>
      <c r="AJ108" s="106"/>
      <c r="AL108" s="40"/>
      <c r="AN108" s="40"/>
      <c r="AO108" s="19"/>
      <c r="AP108" s="88"/>
      <c r="AR108" s="106"/>
      <c r="AT108" s="40"/>
      <c r="AV108" s="25"/>
      <c r="AW108" s="19"/>
      <c r="AX108" s="88"/>
    </row>
    <row r="109" spans="2:50" ht="12.75">
      <c r="B109" s="135" t="s">
        <v>139</v>
      </c>
      <c r="D109" s="106"/>
      <c r="E109" s="167"/>
      <c r="F109" s="40"/>
      <c r="G109" s="167"/>
      <c r="H109" s="40"/>
      <c r="I109" s="19"/>
      <c r="J109" s="88"/>
      <c r="L109" s="106"/>
      <c r="M109" s="167"/>
      <c r="N109" s="40"/>
      <c r="O109" s="167"/>
      <c r="P109" s="40"/>
      <c r="Q109" s="19"/>
      <c r="R109" s="88"/>
      <c r="T109" s="106"/>
      <c r="U109" s="167"/>
      <c r="V109" s="40"/>
      <c r="W109" s="167"/>
      <c r="X109" s="40"/>
      <c r="Y109" s="19"/>
      <c r="Z109" s="88"/>
      <c r="AB109" s="106"/>
      <c r="AC109" s="167"/>
      <c r="AD109" s="40"/>
      <c r="AE109" s="167"/>
      <c r="AF109" s="40"/>
      <c r="AG109" s="19"/>
      <c r="AH109" s="88"/>
      <c r="AJ109" s="106"/>
      <c r="AK109" s="167"/>
      <c r="AL109" s="40"/>
      <c r="AM109" s="167"/>
      <c r="AN109" s="40"/>
      <c r="AO109" s="19"/>
      <c r="AP109" s="88"/>
      <c r="AR109" s="106"/>
      <c r="AS109" s="167"/>
      <c r="AT109" s="40"/>
      <c r="AU109" s="167"/>
      <c r="AV109" s="25"/>
      <c r="AW109" s="19"/>
      <c r="AX109" s="88"/>
    </row>
    <row r="110" spans="2:50" s="58" customFormat="1" ht="11.25" customHeight="1">
      <c r="B110" s="286" t="s">
        <v>395</v>
      </c>
      <c r="D110" s="225">
        <v>4608</v>
      </c>
      <c r="E110" s="40">
        <f>+F110-D110</f>
        <v>4779</v>
      </c>
      <c r="F110" s="220">
        <v>9387</v>
      </c>
      <c r="G110" s="19">
        <f>+H110-F110</f>
        <v>4760</v>
      </c>
      <c r="H110" s="220">
        <v>14147</v>
      </c>
      <c r="I110" s="19">
        <f>+J110-H110</f>
        <v>5002</v>
      </c>
      <c r="J110" s="247">
        <v>19149</v>
      </c>
      <c r="L110" s="225">
        <v>5210</v>
      </c>
      <c r="M110" s="40">
        <f>+N110-L110</f>
        <v>5142</v>
      </c>
      <c r="N110" s="220">
        <v>10352</v>
      </c>
      <c r="O110" s="19">
        <f>+P110-N110</f>
        <v>5100</v>
      </c>
      <c r="P110" s="220">
        <v>15452</v>
      </c>
      <c r="Q110" s="19">
        <f>+R110-P110</f>
        <v>4957</v>
      </c>
      <c r="R110" s="247">
        <v>20409</v>
      </c>
      <c r="T110" s="225">
        <v>5210</v>
      </c>
      <c r="U110" s="40">
        <f>+V110-T110</f>
        <v>5142</v>
      </c>
      <c r="V110" s="220">
        <v>10352</v>
      </c>
      <c r="W110" s="19">
        <f>+X110-V110</f>
        <v>5100</v>
      </c>
      <c r="X110" s="220">
        <v>15452</v>
      </c>
      <c r="Y110" s="19">
        <f>+Z110-X110</f>
        <v>4957</v>
      </c>
      <c r="Z110" s="247">
        <v>20409</v>
      </c>
      <c r="AB110" s="225">
        <v>4757</v>
      </c>
      <c r="AC110" s="40">
        <f>+AD110-AB110</f>
        <v>4316</v>
      </c>
      <c r="AD110" s="220">
        <v>9073</v>
      </c>
      <c r="AE110" s="19">
        <f>+AF110-AD110</f>
        <v>4203</v>
      </c>
      <c r="AF110" s="220">
        <v>13276</v>
      </c>
      <c r="AG110" s="19">
        <f>+AH110-AF110</f>
        <v>3832</v>
      </c>
      <c r="AH110" s="247">
        <v>17108</v>
      </c>
      <c r="AJ110" s="225">
        <v>3041</v>
      </c>
      <c r="AK110" s="40">
        <f>+AL110-AJ110</f>
        <v>2881</v>
      </c>
      <c r="AL110" s="220">
        <v>5922</v>
      </c>
      <c r="AM110" s="19">
        <f>+AN110-AL110</f>
        <v>2878</v>
      </c>
      <c r="AN110" s="220">
        <v>8800</v>
      </c>
      <c r="AO110" s="19">
        <f>+AP110-AN110</f>
        <v>2782</v>
      </c>
      <c r="AP110" s="247">
        <v>11582</v>
      </c>
      <c r="AR110" s="225">
        <v>2606</v>
      </c>
      <c r="AS110" s="40">
        <f>+AT110-AR110</f>
        <v>2554</v>
      </c>
      <c r="AT110" s="220">
        <v>5160</v>
      </c>
      <c r="AU110" s="19">
        <f>+AV110-AT110</f>
        <v>2837</v>
      </c>
      <c r="AV110" s="220">
        <v>7997</v>
      </c>
      <c r="AW110" s="19">
        <f>+AX110-AV110</f>
        <v>2930</v>
      </c>
      <c r="AX110" s="247">
        <v>10927</v>
      </c>
    </row>
    <row r="111" spans="2:50" s="58" customFormat="1" ht="15" customHeight="1">
      <c r="B111" s="158" t="s">
        <v>109</v>
      </c>
      <c r="D111" s="225">
        <f>2602+115+236+875+5328</f>
        <v>9156</v>
      </c>
      <c r="E111" s="40">
        <f>+F111-D111</f>
        <v>18042</v>
      </c>
      <c r="F111" s="220">
        <v>27198</v>
      </c>
      <c r="G111" s="19">
        <f>+H111-F111</f>
        <v>12768</v>
      </c>
      <c r="H111" s="220">
        <v>39966</v>
      </c>
      <c r="I111" s="19">
        <f>+J111-H111</f>
        <v>14700</v>
      </c>
      <c r="J111" s="247">
        <v>54666</v>
      </c>
      <c r="L111" s="225">
        <f>2724+52+238+531+6274</f>
        <v>9819</v>
      </c>
      <c r="M111" s="40">
        <f>+N111-L111</f>
        <v>24868</v>
      </c>
      <c r="N111" s="220">
        <v>34687</v>
      </c>
      <c r="O111" s="19">
        <f>+P111-N111</f>
        <v>21294</v>
      </c>
      <c r="P111" s="220">
        <v>55981</v>
      </c>
      <c r="Q111" s="19">
        <f>+R111-P111</f>
        <v>19790</v>
      </c>
      <c r="R111" s="247">
        <v>75771</v>
      </c>
      <c r="T111" s="225">
        <v>17088</v>
      </c>
      <c r="U111" s="40">
        <f>+V111-T111</f>
        <v>17599</v>
      </c>
      <c r="V111" s="220">
        <v>34687</v>
      </c>
      <c r="W111" s="19">
        <f>+X111-V111</f>
        <v>21294</v>
      </c>
      <c r="X111" s="220">
        <v>55981</v>
      </c>
      <c r="Y111" s="19">
        <f>+Z111-X111</f>
        <v>19141</v>
      </c>
      <c r="Z111" s="247">
        <v>75122</v>
      </c>
      <c r="AB111" s="225">
        <v>17339</v>
      </c>
      <c r="AC111" s="40">
        <f>+AD111-AB111</f>
        <v>17646</v>
      </c>
      <c r="AD111" s="220">
        <v>34985</v>
      </c>
      <c r="AE111" s="19">
        <f>+AF111-AD111</f>
        <v>19392</v>
      </c>
      <c r="AF111" s="220">
        <v>54377</v>
      </c>
      <c r="AG111" s="19">
        <f>+AH111-AF111</f>
        <v>17948</v>
      </c>
      <c r="AH111" s="247">
        <v>72325</v>
      </c>
      <c r="AJ111" s="225">
        <v>20046</v>
      </c>
      <c r="AK111" s="40">
        <f>+AL111-AJ111</f>
        <v>19233</v>
      </c>
      <c r="AL111" s="220">
        <v>39279</v>
      </c>
      <c r="AM111" s="19">
        <f>+AN111-AL111</f>
        <v>20462</v>
      </c>
      <c r="AN111" s="220">
        <v>59741</v>
      </c>
      <c r="AO111" s="19">
        <f>+AP111-AN111</f>
        <v>19871</v>
      </c>
      <c r="AP111" s="247">
        <v>79612</v>
      </c>
      <c r="AR111" s="225">
        <v>17609</v>
      </c>
      <c r="AS111" s="40">
        <f>+AT111-AR111</f>
        <v>15912</v>
      </c>
      <c r="AT111" s="220">
        <v>33521</v>
      </c>
      <c r="AU111" s="19">
        <f>+AV111-AT111</f>
        <v>15072</v>
      </c>
      <c r="AV111" s="220">
        <v>48593</v>
      </c>
      <c r="AW111" s="19">
        <f>+AX111-AV111</f>
        <v>14224</v>
      </c>
      <c r="AX111" s="247">
        <v>62817</v>
      </c>
    </row>
    <row r="112" spans="2:50" ht="12.75">
      <c r="B112" s="315" t="s">
        <v>140</v>
      </c>
      <c r="D112" s="279">
        <f>+D110+D111</f>
        <v>13764</v>
      </c>
      <c r="E112" s="280">
        <f aca="true" t="shared" si="80" ref="E112:J112">+E110+E111</f>
        <v>22821</v>
      </c>
      <c r="F112" s="280">
        <f t="shared" si="80"/>
        <v>36585</v>
      </c>
      <c r="G112" s="280">
        <f t="shared" si="80"/>
        <v>17528</v>
      </c>
      <c r="H112" s="280">
        <f t="shared" si="80"/>
        <v>54113</v>
      </c>
      <c r="I112" s="280">
        <f t="shared" si="80"/>
        <v>19702</v>
      </c>
      <c r="J112" s="281">
        <f t="shared" si="80"/>
        <v>73815</v>
      </c>
      <c r="L112" s="279">
        <f>+L110+L111</f>
        <v>15029</v>
      </c>
      <c r="M112" s="280">
        <f aca="true" t="shared" si="81" ref="M112:R112">+M110+M111</f>
        <v>30010</v>
      </c>
      <c r="N112" s="280">
        <f t="shared" si="81"/>
        <v>45039</v>
      </c>
      <c r="O112" s="280">
        <f t="shared" si="81"/>
        <v>26394</v>
      </c>
      <c r="P112" s="280">
        <f t="shared" si="81"/>
        <v>71433</v>
      </c>
      <c r="Q112" s="280">
        <f t="shared" si="81"/>
        <v>24747</v>
      </c>
      <c r="R112" s="281">
        <f t="shared" si="81"/>
        <v>96180</v>
      </c>
      <c r="T112" s="279">
        <f>+T110+T111</f>
        <v>22298</v>
      </c>
      <c r="U112" s="280">
        <f aca="true" t="shared" si="82" ref="U112:Z112">+U110+U111</f>
        <v>22741</v>
      </c>
      <c r="V112" s="280">
        <f t="shared" si="82"/>
        <v>45039</v>
      </c>
      <c r="W112" s="280">
        <f t="shared" si="82"/>
        <v>26394</v>
      </c>
      <c r="X112" s="280">
        <f t="shared" si="82"/>
        <v>71433</v>
      </c>
      <c r="Y112" s="280">
        <f t="shared" si="82"/>
        <v>24098</v>
      </c>
      <c r="Z112" s="281">
        <f t="shared" si="82"/>
        <v>95531</v>
      </c>
      <c r="AB112" s="279">
        <f>+AB110+AB111</f>
        <v>22096</v>
      </c>
      <c r="AC112" s="280">
        <f aca="true" t="shared" si="83" ref="AC112:AH112">+AC110+AC111</f>
        <v>21962</v>
      </c>
      <c r="AD112" s="280">
        <f t="shared" si="83"/>
        <v>44058</v>
      </c>
      <c r="AE112" s="280">
        <f t="shared" si="83"/>
        <v>23595</v>
      </c>
      <c r="AF112" s="280">
        <f t="shared" si="83"/>
        <v>67653</v>
      </c>
      <c r="AG112" s="280">
        <f t="shared" si="83"/>
        <v>21780</v>
      </c>
      <c r="AH112" s="281">
        <f t="shared" si="83"/>
        <v>89433</v>
      </c>
      <c r="AJ112" s="279">
        <f>+AJ110+AJ111</f>
        <v>23087</v>
      </c>
      <c r="AK112" s="280">
        <f aca="true" t="shared" si="84" ref="AK112:AP112">+AK110+AK111</f>
        <v>22114</v>
      </c>
      <c r="AL112" s="280">
        <f t="shared" si="84"/>
        <v>45201</v>
      </c>
      <c r="AM112" s="280">
        <f t="shared" si="84"/>
        <v>23340</v>
      </c>
      <c r="AN112" s="280">
        <f t="shared" si="84"/>
        <v>68541</v>
      </c>
      <c r="AO112" s="280">
        <f t="shared" si="84"/>
        <v>22653</v>
      </c>
      <c r="AP112" s="281">
        <f t="shared" si="84"/>
        <v>91194</v>
      </c>
      <c r="AR112" s="279">
        <f>+AR110+AR111</f>
        <v>20215</v>
      </c>
      <c r="AS112" s="280">
        <f aca="true" t="shared" si="85" ref="AS112:AX112">+AS110+AS111</f>
        <v>18466</v>
      </c>
      <c r="AT112" s="280">
        <f t="shared" si="85"/>
        <v>38681</v>
      </c>
      <c r="AU112" s="280">
        <f t="shared" si="85"/>
        <v>17909</v>
      </c>
      <c r="AV112" s="689">
        <f t="shared" si="85"/>
        <v>56590</v>
      </c>
      <c r="AW112" s="280">
        <f t="shared" si="85"/>
        <v>17154</v>
      </c>
      <c r="AX112" s="281">
        <f t="shared" si="85"/>
        <v>73744</v>
      </c>
    </row>
    <row r="113" spans="2:50" ht="12.75">
      <c r="B113" s="295"/>
      <c r="D113" s="56"/>
      <c r="E113" s="56"/>
      <c r="F113" s="56"/>
      <c r="G113" s="56"/>
      <c r="H113" s="56"/>
      <c r="I113" s="56"/>
      <c r="J113" s="56"/>
      <c r="L113" s="56"/>
      <c r="M113" s="56"/>
      <c r="N113" s="56"/>
      <c r="O113" s="56"/>
      <c r="P113" s="56"/>
      <c r="Q113" s="56"/>
      <c r="R113" s="56"/>
      <c r="T113" s="56"/>
      <c r="U113" s="56"/>
      <c r="V113" s="56"/>
      <c r="W113" s="56"/>
      <c r="X113" s="56"/>
      <c r="Y113" s="56"/>
      <c r="Z113" s="56"/>
      <c r="AB113" s="56"/>
      <c r="AC113" s="56"/>
      <c r="AD113" s="56"/>
      <c r="AE113" s="56"/>
      <c r="AF113" s="56"/>
      <c r="AG113" s="56"/>
      <c r="AH113" s="56"/>
      <c r="AJ113" s="56"/>
      <c r="AK113" s="56"/>
      <c r="AL113" s="56"/>
      <c r="AM113" s="56"/>
      <c r="AN113" s="56"/>
      <c r="AO113" s="56"/>
      <c r="AP113" s="56"/>
      <c r="AR113" s="56"/>
      <c r="AS113" s="56"/>
      <c r="AT113" s="56"/>
      <c r="AU113" s="56"/>
      <c r="AV113" s="24"/>
      <c r="AW113" s="56"/>
      <c r="AX113" s="56"/>
    </row>
    <row r="114" s="49" customFormat="1" ht="12.75">
      <c r="AV114" s="167"/>
    </row>
    <row r="115" spans="2:50" s="51" customFormat="1" ht="17.25" customHeight="1">
      <c r="B115" s="132" t="s">
        <v>219</v>
      </c>
      <c r="D115" s="380" t="s">
        <v>228</v>
      </c>
      <c r="E115" s="381" t="s">
        <v>229</v>
      </c>
      <c r="F115" s="381" t="s">
        <v>230</v>
      </c>
      <c r="G115" s="381" t="s">
        <v>231</v>
      </c>
      <c r="H115" s="381" t="s">
        <v>232</v>
      </c>
      <c r="I115" s="381" t="s">
        <v>233</v>
      </c>
      <c r="J115" s="382" t="s">
        <v>234</v>
      </c>
      <c r="L115" s="380" t="s">
        <v>243</v>
      </c>
      <c r="M115" s="381" t="s">
        <v>244</v>
      </c>
      <c r="N115" s="381" t="s">
        <v>245</v>
      </c>
      <c r="O115" s="381" t="s">
        <v>246</v>
      </c>
      <c r="P115" s="381" t="s">
        <v>247</v>
      </c>
      <c r="Q115" s="381" t="s">
        <v>248</v>
      </c>
      <c r="R115" s="382" t="s">
        <v>249</v>
      </c>
      <c r="T115" s="380" t="str">
        <f aca="true" t="shared" si="86" ref="T115:Z115">+T4</f>
        <v>IQ 2014</v>
      </c>
      <c r="U115" s="381" t="str">
        <f t="shared" si="86"/>
        <v>IIQ 2014</v>
      </c>
      <c r="V115" s="381" t="str">
        <f t="shared" si="86"/>
        <v>IH 2014</v>
      </c>
      <c r="W115" s="381" t="str">
        <f t="shared" si="86"/>
        <v>III Q 2014</v>
      </c>
      <c r="X115" s="381" t="str">
        <f t="shared" si="86"/>
        <v>9M 2014</v>
      </c>
      <c r="Y115" s="381" t="str">
        <f t="shared" si="86"/>
        <v>IV Q 2014</v>
      </c>
      <c r="Z115" s="382" t="str">
        <f t="shared" si="86"/>
        <v>FY 2014</v>
      </c>
      <c r="AB115" s="380" t="str">
        <f aca="true" t="shared" si="87" ref="AB115:AH115">+AB4</f>
        <v>IQ 2015</v>
      </c>
      <c r="AC115" s="381" t="str">
        <f t="shared" si="87"/>
        <v>IIQ 2015</v>
      </c>
      <c r="AD115" s="381" t="str">
        <f t="shared" si="87"/>
        <v>IH 2015</v>
      </c>
      <c r="AE115" s="381" t="str">
        <f t="shared" si="87"/>
        <v>III Q 2015</v>
      </c>
      <c r="AF115" s="381" t="str">
        <f t="shared" si="87"/>
        <v>9M 2015</v>
      </c>
      <c r="AG115" s="381" t="str">
        <f t="shared" si="87"/>
        <v>IV Q 2015</v>
      </c>
      <c r="AH115" s="382" t="str">
        <f t="shared" si="87"/>
        <v>FY 2015</v>
      </c>
      <c r="AJ115" s="380" t="s">
        <v>289</v>
      </c>
      <c r="AK115" s="381" t="s">
        <v>290</v>
      </c>
      <c r="AL115" s="381" t="s">
        <v>291</v>
      </c>
      <c r="AM115" s="381" t="s">
        <v>292</v>
      </c>
      <c r="AN115" s="381" t="s">
        <v>293</v>
      </c>
      <c r="AO115" s="381" t="s">
        <v>294</v>
      </c>
      <c r="AP115" s="382" t="s">
        <v>365</v>
      </c>
      <c r="AR115" s="380" t="str">
        <f>+AR100</f>
        <v>IQ 2017</v>
      </c>
      <c r="AS115" s="380" t="str">
        <f aca="true" t="shared" si="88" ref="AS115:AX115">+AS100</f>
        <v>IIQ 2017</v>
      </c>
      <c r="AT115" s="380" t="str">
        <f t="shared" si="88"/>
        <v>IH 2017</v>
      </c>
      <c r="AU115" s="380" t="str">
        <f t="shared" si="88"/>
        <v>III Q 2017</v>
      </c>
      <c r="AV115" s="380" t="str">
        <f t="shared" si="88"/>
        <v>9M 2017</v>
      </c>
      <c r="AW115" s="380" t="str">
        <f t="shared" si="88"/>
        <v>IV Q 2017</v>
      </c>
      <c r="AX115" s="380" t="str">
        <f t="shared" si="88"/>
        <v>FY 2017</v>
      </c>
    </row>
    <row r="116" spans="2:50" ht="12.75">
      <c r="B116" s="157"/>
      <c r="D116" s="106"/>
      <c r="I116" s="57"/>
      <c r="J116" s="98"/>
      <c r="L116" s="106"/>
      <c r="R116" s="98"/>
      <c r="T116" s="106"/>
      <c r="Z116" s="98"/>
      <c r="AB116" s="106"/>
      <c r="AH116" s="98"/>
      <c r="AJ116" s="187"/>
      <c r="AK116" s="188"/>
      <c r="AL116" s="188"/>
      <c r="AM116" s="188"/>
      <c r="AN116" s="188"/>
      <c r="AO116" s="188"/>
      <c r="AP116" s="189"/>
      <c r="AR116" s="187"/>
      <c r="AS116" s="188"/>
      <c r="AT116" s="188"/>
      <c r="AU116" s="188"/>
      <c r="AV116" s="686"/>
      <c r="AW116" s="188"/>
      <c r="AX116" s="189"/>
    </row>
    <row r="117" spans="2:50" ht="15" customHeight="1">
      <c r="B117" s="314" t="s">
        <v>517</v>
      </c>
      <c r="D117" s="106"/>
      <c r="I117" s="57"/>
      <c r="J117" s="98"/>
      <c r="L117" s="106"/>
      <c r="R117" s="98"/>
      <c r="T117" s="106"/>
      <c r="Z117" s="98"/>
      <c r="AB117" s="106"/>
      <c r="AH117" s="98"/>
      <c r="AJ117" s="106"/>
      <c r="AP117" s="98"/>
      <c r="AR117" s="106"/>
      <c r="AV117" s="167"/>
      <c r="AX117" s="98"/>
    </row>
    <row r="118" spans="2:50" ht="15.75" customHeight="1">
      <c r="B118" s="172" t="s">
        <v>518</v>
      </c>
      <c r="D118" s="228">
        <v>122</v>
      </c>
      <c r="E118" s="19">
        <f>+F118-D118</f>
        <v>108</v>
      </c>
      <c r="F118" s="222">
        <v>230</v>
      </c>
      <c r="G118" s="19">
        <f>+H118-F118</f>
        <v>93</v>
      </c>
      <c r="H118" s="222">
        <v>323</v>
      </c>
      <c r="I118" s="19">
        <f>+J118-H118</f>
        <v>87</v>
      </c>
      <c r="J118" s="252">
        <v>410</v>
      </c>
      <c r="L118" s="228">
        <v>81</v>
      </c>
      <c r="M118" s="19">
        <f>+N118-L118</f>
        <v>86</v>
      </c>
      <c r="N118" s="222">
        <v>167</v>
      </c>
      <c r="O118" s="19">
        <f>+P118-N118</f>
        <v>118</v>
      </c>
      <c r="P118" s="222">
        <v>285</v>
      </c>
      <c r="Q118" s="19">
        <f>+R118-P118</f>
        <v>132</v>
      </c>
      <c r="R118" s="252">
        <v>417</v>
      </c>
      <c r="T118" s="228">
        <v>81</v>
      </c>
      <c r="U118" s="19">
        <f>+V118-T118</f>
        <v>86</v>
      </c>
      <c r="V118" s="222">
        <v>167</v>
      </c>
      <c r="W118" s="19">
        <f>+X118-V118</f>
        <v>118</v>
      </c>
      <c r="X118" s="222">
        <v>285</v>
      </c>
      <c r="Y118" s="19">
        <f>+Z118-X118</f>
        <v>132</v>
      </c>
      <c r="Z118" s="252">
        <v>417</v>
      </c>
      <c r="AB118" s="228">
        <v>128</v>
      </c>
      <c r="AC118" s="19">
        <f>+AD118-AB118</f>
        <v>125</v>
      </c>
      <c r="AD118" s="222">
        <v>253</v>
      </c>
      <c r="AE118" s="19">
        <f>+AF118-AD118</f>
        <v>120</v>
      </c>
      <c r="AF118" s="222">
        <v>373</v>
      </c>
      <c r="AG118" s="19">
        <f>+AH118-AF118</f>
        <v>112</v>
      </c>
      <c r="AH118" s="252">
        <v>485</v>
      </c>
      <c r="AJ118" s="228">
        <v>111</v>
      </c>
      <c r="AK118" s="19">
        <f>+AL118-AJ118</f>
        <v>130</v>
      </c>
      <c r="AL118" s="222">
        <v>241</v>
      </c>
      <c r="AM118" s="19">
        <f>+AN118-AL118</f>
        <v>143</v>
      </c>
      <c r="AN118" s="222">
        <v>384</v>
      </c>
      <c r="AO118" s="19">
        <f>+AP118-AN118</f>
        <v>137</v>
      </c>
      <c r="AP118" s="252">
        <v>521</v>
      </c>
      <c r="AR118" s="228">
        <v>114</v>
      </c>
      <c r="AS118" s="19">
        <f>+AT118-AR118</f>
        <v>113</v>
      </c>
      <c r="AT118" s="222">
        <v>227</v>
      </c>
      <c r="AU118" s="19">
        <f>+AV118-AT118</f>
        <v>110</v>
      </c>
      <c r="AV118" s="222">
        <v>337</v>
      </c>
      <c r="AW118" s="19">
        <f aca="true" t="shared" si="89" ref="AW118:AW123">+AX118-AV118</f>
        <v>100</v>
      </c>
      <c r="AX118" s="252">
        <v>437</v>
      </c>
    </row>
    <row r="119" spans="2:50" ht="12.75">
      <c r="B119" s="172" t="s">
        <v>227</v>
      </c>
      <c r="D119" s="228">
        <v>3518</v>
      </c>
      <c r="E119" s="19">
        <f>+F119-D119</f>
        <v>3033</v>
      </c>
      <c r="F119" s="222">
        <v>6551</v>
      </c>
      <c r="G119" s="19">
        <f>+H119-F119</f>
        <v>3070</v>
      </c>
      <c r="H119" s="222">
        <v>9621</v>
      </c>
      <c r="I119" s="25">
        <f>+J119-H119</f>
        <v>2891</v>
      </c>
      <c r="J119" s="252">
        <v>12512</v>
      </c>
      <c r="L119" s="228">
        <v>2718</v>
      </c>
      <c r="M119" s="19">
        <f>+N119-L119</f>
        <v>2209</v>
      </c>
      <c r="N119" s="222">
        <v>4927</v>
      </c>
      <c r="O119" s="19">
        <f>+P119-N119</f>
        <v>2182</v>
      </c>
      <c r="P119" s="222">
        <v>7109</v>
      </c>
      <c r="Q119" s="25">
        <f>+R119-P119</f>
        <v>2806</v>
      </c>
      <c r="R119" s="252">
        <v>9915</v>
      </c>
      <c r="T119" s="228">
        <v>2718</v>
      </c>
      <c r="U119" s="19">
        <f>+V119-T119</f>
        <v>2209</v>
      </c>
      <c r="V119" s="222">
        <v>4927</v>
      </c>
      <c r="W119" s="19">
        <f>+X119-V119</f>
        <v>2182</v>
      </c>
      <c r="X119" s="222">
        <v>7109</v>
      </c>
      <c r="Y119" s="25">
        <f>+Z119-X119</f>
        <v>2806</v>
      </c>
      <c r="Z119" s="252">
        <v>9915</v>
      </c>
      <c r="AB119" s="228">
        <v>3050</v>
      </c>
      <c r="AC119" s="19">
        <f>+AD119-AB119</f>
        <v>3146</v>
      </c>
      <c r="AD119" s="222">
        <v>6196</v>
      </c>
      <c r="AE119" s="19">
        <f>+AF119-AD119</f>
        <v>3039</v>
      </c>
      <c r="AF119" s="222">
        <v>9235</v>
      </c>
      <c r="AG119" s="25">
        <f>+AH119-AF119</f>
        <v>3487</v>
      </c>
      <c r="AH119" s="252">
        <v>12722</v>
      </c>
      <c r="AJ119" s="228">
        <v>3584</v>
      </c>
      <c r="AK119" s="19">
        <f>+AL119-AJ119</f>
        <v>3725</v>
      </c>
      <c r="AL119" s="222">
        <v>7309</v>
      </c>
      <c r="AM119" s="19">
        <f>+AN119-AL119</f>
        <v>3516</v>
      </c>
      <c r="AN119" s="222">
        <v>10825</v>
      </c>
      <c r="AO119" s="25">
        <f aca="true" t="shared" si="90" ref="AO119:AO131">+AP119-AN119</f>
        <v>3790</v>
      </c>
      <c r="AP119" s="252">
        <v>14615</v>
      </c>
      <c r="AR119" s="228">
        <v>3899</v>
      </c>
      <c r="AS119" s="19">
        <f>+AT119-AR119</f>
        <v>3646</v>
      </c>
      <c r="AT119" s="222">
        <v>7545</v>
      </c>
      <c r="AU119" s="19">
        <f>+AV119-AT119</f>
        <v>3577</v>
      </c>
      <c r="AV119" s="222">
        <v>11122</v>
      </c>
      <c r="AW119" s="25">
        <f t="shared" si="89"/>
        <v>3980</v>
      </c>
      <c r="AX119" s="252">
        <v>15102</v>
      </c>
    </row>
    <row r="120" spans="2:50" ht="12.75">
      <c r="B120" s="172" t="s">
        <v>363</v>
      </c>
      <c r="D120" s="228">
        <v>595</v>
      </c>
      <c r="E120" s="19">
        <f>+F120-D120</f>
        <v>457</v>
      </c>
      <c r="F120" s="222">
        <v>1052</v>
      </c>
      <c r="G120" s="19">
        <f>+H120-F120</f>
        <v>941</v>
      </c>
      <c r="H120" s="222">
        <v>1993</v>
      </c>
      <c r="I120" s="25">
        <f>+J120-H120</f>
        <v>1085</v>
      </c>
      <c r="J120" s="252">
        <v>3078</v>
      </c>
      <c r="L120" s="228">
        <v>718</v>
      </c>
      <c r="M120" s="19">
        <f>+N120-L120</f>
        <v>552</v>
      </c>
      <c r="N120" s="222">
        <v>1270</v>
      </c>
      <c r="O120" s="19">
        <f>+P120-N120</f>
        <v>733</v>
      </c>
      <c r="P120" s="222">
        <v>2003</v>
      </c>
      <c r="Q120" s="25">
        <f>+R120-P120</f>
        <v>736</v>
      </c>
      <c r="R120" s="252">
        <v>2739</v>
      </c>
      <c r="T120" s="228">
        <v>718</v>
      </c>
      <c r="U120" s="19">
        <f>+V120-T120</f>
        <v>552</v>
      </c>
      <c r="V120" s="222">
        <v>1270</v>
      </c>
      <c r="W120" s="19">
        <f>+X120-V120</f>
        <v>733</v>
      </c>
      <c r="X120" s="222">
        <v>2003</v>
      </c>
      <c r="Y120" s="25">
        <f>+Z120-X120</f>
        <v>736</v>
      </c>
      <c r="Z120" s="252">
        <v>2739</v>
      </c>
      <c r="AB120" s="228">
        <v>814</v>
      </c>
      <c r="AC120" s="19">
        <f>+AD120-AB120</f>
        <v>441</v>
      </c>
      <c r="AD120" s="222">
        <v>1255</v>
      </c>
      <c r="AE120" s="19">
        <f>+AF120-AD120</f>
        <v>1100</v>
      </c>
      <c r="AF120" s="222">
        <v>2355</v>
      </c>
      <c r="AG120" s="25">
        <f>+AH120-AF120</f>
        <v>1817</v>
      </c>
      <c r="AH120" s="252">
        <v>4172</v>
      </c>
      <c r="AJ120" s="228">
        <v>1617</v>
      </c>
      <c r="AK120" s="19">
        <f>+AL120-AJ120</f>
        <v>1297</v>
      </c>
      <c r="AL120" s="222">
        <v>2914</v>
      </c>
      <c r="AM120" s="19">
        <f>+AN120-AL120</f>
        <v>1508</v>
      </c>
      <c r="AN120" s="222">
        <v>4422</v>
      </c>
      <c r="AO120" s="25">
        <f t="shared" si="90"/>
        <v>2323</v>
      </c>
      <c r="AP120" s="252">
        <v>6745</v>
      </c>
      <c r="AR120" s="228">
        <v>1746</v>
      </c>
      <c r="AS120" s="19">
        <f>+AT120-AR120</f>
        <v>1122</v>
      </c>
      <c r="AT120" s="222">
        <v>2868</v>
      </c>
      <c r="AU120" s="19">
        <f>+AV120-AT120</f>
        <v>1007</v>
      </c>
      <c r="AV120" s="222">
        <v>3875</v>
      </c>
      <c r="AW120" s="25">
        <f t="shared" si="89"/>
        <v>1968</v>
      </c>
      <c r="AX120" s="252">
        <v>5843</v>
      </c>
    </row>
    <row r="121" spans="2:50" ht="12.75">
      <c r="B121" s="172" t="s">
        <v>364</v>
      </c>
      <c r="D121" s="228">
        <v>628</v>
      </c>
      <c r="E121" s="19">
        <f>+F121-D121</f>
        <v>-466</v>
      </c>
      <c r="F121" s="222">
        <v>162</v>
      </c>
      <c r="G121" s="19">
        <f>+H121-F121</f>
        <v>-482</v>
      </c>
      <c r="H121" s="222">
        <v>-320</v>
      </c>
      <c r="I121" s="25">
        <f>+J121-H121</f>
        <v>-21</v>
      </c>
      <c r="J121" s="252">
        <v>-341</v>
      </c>
      <c r="L121" s="228">
        <v>430</v>
      </c>
      <c r="M121" s="19">
        <f>+N121-L121</f>
        <v>-348</v>
      </c>
      <c r="N121" s="222">
        <v>82</v>
      </c>
      <c r="O121" s="19">
        <f>+P121-N121</f>
        <v>-212</v>
      </c>
      <c r="P121" s="222">
        <v>-130</v>
      </c>
      <c r="Q121" s="25">
        <f>+R121-P121</f>
        <v>302</v>
      </c>
      <c r="R121" s="252">
        <v>172</v>
      </c>
      <c r="T121" s="228">
        <v>430</v>
      </c>
      <c r="U121" s="19">
        <f>+V121-T121</f>
        <v>-348</v>
      </c>
      <c r="V121" s="222">
        <v>82</v>
      </c>
      <c r="W121" s="19">
        <f>+X121-V121</f>
        <v>-212</v>
      </c>
      <c r="X121" s="222">
        <v>-130</v>
      </c>
      <c r="Y121" s="25">
        <f>+Z121-X121</f>
        <v>302</v>
      </c>
      <c r="Z121" s="252">
        <v>172</v>
      </c>
      <c r="AB121" s="228">
        <v>608</v>
      </c>
      <c r="AC121" s="19">
        <f>+AD121-AB121</f>
        <v>-269</v>
      </c>
      <c r="AD121" s="222">
        <v>339</v>
      </c>
      <c r="AE121" s="19">
        <f>+AF121-AD121</f>
        <v>-233</v>
      </c>
      <c r="AF121" s="222">
        <v>106</v>
      </c>
      <c r="AG121" s="25">
        <f>+AH121-AF121</f>
        <v>91</v>
      </c>
      <c r="AH121" s="252">
        <v>197</v>
      </c>
      <c r="AJ121" s="228">
        <v>280</v>
      </c>
      <c r="AK121" s="19">
        <f>+AL121-AJ121</f>
        <v>-206</v>
      </c>
      <c r="AL121" s="222">
        <v>74</v>
      </c>
      <c r="AM121" s="19">
        <f>+AN121-AL121</f>
        <v>-162</v>
      </c>
      <c r="AN121" s="222">
        <v>-88</v>
      </c>
      <c r="AO121" s="25">
        <f t="shared" si="90"/>
        <v>88</v>
      </c>
      <c r="AP121" s="252">
        <v>0</v>
      </c>
      <c r="AR121" s="228">
        <v>236</v>
      </c>
      <c r="AS121" s="19">
        <f>+AT121-AR121</f>
        <v>-225</v>
      </c>
      <c r="AT121" s="222">
        <v>11</v>
      </c>
      <c r="AU121" s="19">
        <f>+AV121-AT121</f>
        <v>-148</v>
      </c>
      <c r="AV121" s="222">
        <v>-137</v>
      </c>
      <c r="AW121" s="25">
        <f t="shared" si="89"/>
        <v>43</v>
      </c>
      <c r="AX121" s="252">
        <v>-94</v>
      </c>
    </row>
    <row r="122" spans="2:50" ht="12.75">
      <c r="B122" s="278" t="s">
        <v>362</v>
      </c>
      <c r="D122" s="145">
        <f aca="true" t="shared" si="91" ref="D122:J122">SUM(D118:D121)</f>
        <v>4863</v>
      </c>
      <c r="E122" s="56">
        <f t="shared" si="91"/>
        <v>3132</v>
      </c>
      <c r="F122" s="56">
        <f t="shared" si="91"/>
        <v>7995</v>
      </c>
      <c r="G122" s="56">
        <f t="shared" si="91"/>
        <v>3622</v>
      </c>
      <c r="H122" s="56">
        <f t="shared" si="91"/>
        <v>11617</v>
      </c>
      <c r="I122" s="23">
        <f t="shared" si="91"/>
        <v>4042</v>
      </c>
      <c r="J122" s="146">
        <f t="shared" si="91"/>
        <v>15659</v>
      </c>
      <c r="L122" s="145">
        <f aca="true" t="shared" si="92" ref="L122:R122">SUM(L118:L121)</f>
        <v>3947</v>
      </c>
      <c r="M122" s="56">
        <f t="shared" si="92"/>
        <v>2499</v>
      </c>
      <c r="N122" s="56">
        <f t="shared" si="92"/>
        <v>6446</v>
      </c>
      <c r="O122" s="56">
        <f t="shared" si="92"/>
        <v>2821</v>
      </c>
      <c r="P122" s="56">
        <f t="shared" si="92"/>
        <v>9267</v>
      </c>
      <c r="Q122" s="23">
        <f t="shared" si="92"/>
        <v>3976</v>
      </c>
      <c r="R122" s="146">
        <f t="shared" si="92"/>
        <v>13243</v>
      </c>
      <c r="T122" s="145">
        <f aca="true" t="shared" si="93" ref="T122:Z122">SUM(T118:T121)</f>
        <v>3947</v>
      </c>
      <c r="U122" s="56">
        <f t="shared" si="93"/>
        <v>2499</v>
      </c>
      <c r="V122" s="56">
        <f t="shared" si="93"/>
        <v>6446</v>
      </c>
      <c r="W122" s="56">
        <f t="shared" si="93"/>
        <v>2821</v>
      </c>
      <c r="X122" s="56">
        <f t="shared" si="93"/>
        <v>9267</v>
      </c>
      <c r="Y122" s="23">
        <f t="shared" si="93"/>
        <v>3976</v>
      </c>
      <c r="Z122" s="146">
        <f t="shared" si="93"/>
        <v>13243</v>
      </c>
      <c r="AB122" s="145">
        <f aca="true" t="shared" si="94" ref="AB122:AH122">SUM(AB118:AB121)</f>
        <v>4600</v>
      </c>
      <c r="AC122" s="56">
        <f t="shared" si="94"/>
        <v>3443</v>
      </c>
      <c r="AD122" s="56">
        <f t="shared" si="94"/>
        <v>8043</v>
      </c>
      <c r="AE122" s="56">
        <f t="shared" si="94"/>
        <v>4026</v>
      </c>
      <c r="AF122" s="56">
        <f t="shared" si="94"/>
        <v>12069</v>
      </c>
      <c r="AG122" s="23">
        <f t="shared" si="94"/>
        <v>5507</v>
      </c>
      <c r="AH122" s="146">
        <f t="shared" si="94"/>
        <v>17576</v>
      </c>
      <c r="AJ122" s="145">
        <f>SUM(AJ118:AJ121)</f>
        <v>5592</v>
      </c>
      <c r="AK122" s="56">
        <f>SUM(AK118:AK121)</f>
        <v>4946</v>
      </c>
      <c r="AL122" s="56">
        <f>SUM(AL118:AL121)</f>
        <v>10538</v>
      </c>
      <c r="AM122" s="56">
        <f>SUM(AM118:AM121)</f>
        <v>5005</v>
      </c>
      <c r="AN122" s="56">
        <f>SUM(AN118:AN121)</f>
        <v>15543</v>
      </c>
      <c r="AO122" s="23">
        <f t="shared" si="90"/>
        <v>6338</v>
      </c>
      <c r="AP122" s="146">
        <f>+AP118+AP119+AP120+AP121</f>
        <v>21881</v>
      </c>
      <c r="AR122" s="145">
        <f>+SUM(AR118:AR121)</f>
        <v>5995</v>
      </c>
      <c r="AS122" s="56">
        <f>SUM(AS118:AS121)</f>
        <v>4656</v>
      </c>
      <c r="AT122" s="56">
        <f>SUM(AT118:AT121)</f>
        <v>10651</v>
      </c>
      <c r="AU122" s="56">
        <f>SUM(AU118:AU121)</f>
        <v>4546</v>
      </c>
      <c r="AV122" s="24">
        <f>SUM(AV118:AV121)</f>
        <v>15197</v>
      </c>
      <c r="AW122" s="23">
        <f t="shared" si="89"/>
        <v>6091</v>
      </c>
      <c r="AX122" s="146">
        <f>+AX118+AX119+AX120+AX121</f>
        <v>21288</v>
      </c>
    </row>
    <row r="123" spans="2:50" s="161" customFormat="1" ht="12.75">
      <c r="B123" s="162" t="s">
        <v>401</v>
      </c>
      <c r="D123" s="221">
        <v>443</v>
      </c>
      <c r="E123" s="19">
        <f>+F123-D123</f>
        <v>459</v>
      </c>
      <c r="F123" s="220">
        <v>902</v>
      </c>
      <c r="G123" s="19">
        <f>+H123-F123</f>
        <v>454</v>
      </c>
      <c r="H123" s="220">
        <v>1356</v>
      </c>
      <c r="I123" s="19">
        <f>+J123-H123</f>
        <v>443</v>
      </c>
      <c r="J123" s="247">
        <v>1799</v>
      </c>
      <c r="L123" s="221">
        <v>454</v>
      </c>
      <c r="M123" s="19">
        <f>+N123-L123</f>
        <v>438</v>
      </c>
      <c r="N123" s="220">
        <v>892</v>
      </c>
      <c r="O123" s="19">
        <f>+P123-N123</f>
        <v>422</v>
      </c>
      <c r="P123" s="220">
        <v>1314</v>
      </c>
      <c r="Q123" s="19">
        <f>+R123-P123</f>
        <v>420</v>
      </c>
      <c r="R123" s="247">
        <v>1734</v>
      </c>
      <c r="T123" s="221">
        <v>454</v>
      </c>
      <c r="U123" s="19">
        <f>+V123-T123</f>
        <v>438</v>
      </c>
      <c r="V123" s="220">
        <v>892</v>
      </c>
      <c r="W123" s="19">
        <f>+X123-V123</f>
        <v>422</v>
      </c>
      <c r="X123" s="220">
        <v>1314</v>
      </c>
      <c r="Y123" s="19">
        <f>+Z123-X123</f>
        <v>420</v>
      </c>
      <c r="Z123" s="247">
        <v>1734</v>
      </c>
      <c r="AB123" s="228">
        <v>398</v>
      </c>
      <c r="AC123" s="19">
        <f>+AD123-AB123</f>
        <v>382</v>
      </c>
      <c r="AD123" s="174">
        <v>780</v>
      </c>
      <c r="AE123" s="19">
        <f>+AF123-AD123</f>
        <v>355</v>
      </c>
      <c r="AF123" s="220">
        <v>1135</v>
      </c>
      <c r="AG123" s="19">
        <f>+AH123-AF123</f>
        <v>373</v>
      </c>
      <c r="AH123" s="247">
        <v>1508</v>
      </c>
      <c r="AJ123" s="221">
        <v>375</v>
      </c>
      <c r="AK123" s="19">
        <f>+AL123-AJ123</f>
        <v>383</v>
      </c>
      <c r="AL123" s="220">
        <v>758</v>
      </c>
      <c r="AM123" s="19">
        <f>+AN123-AL123</f>
        <v>356</v>
      </c>
      <c r="AN123" s="220">
        <v>1114</v>
      </c>
      <c r="AO123" s="19">
        <f>+AP123-AN123</f>
        <v>289</v>
      </c>
      <c r="AP123" s="247">
        <v>1403</v>
      </c>
      <c r="AR123" s="221">
        <v>333</v>
      </c>
      <c r="AS123" s="19">
        <f>+AT123-AR123</f>
        <v>453</v>
      </c>
      <c r="AT123" s="220">
        <v>786</v>
      </c>
      <c r="AU123" s="19">
        <f>+AV123-AT123</f>
        <v>468</v>
      </c>
      <c r="AV123" s="220">
        <v>1254</v>
      </c>
      <c r="AW123" s="19">
        <f t="shared" si="89"/>
        <v>382</v>
      </c>
      <c r="AX123" s="247">
        <v>1636</v>
      </c>
    </row>
    <row r="124" spans="2:50" ht="12.75">
      <c r="B124" s="137"/>
      <c r="D124" s="106"/>
      <c r="E124" s="161"/>
      <c r="G124" s="161"/>
      <c r="I124" s="19"/>
      <c r="J124" s="98"/>
      <c r="L124" s="106"/>
      <c r="M124" s="161"/>
      <c r="O124" s="161"/>
      <c r="Q124" s="19"/>
      <c r="R124" s="98"/>
      <c r="T124" s="106"/>
      <c r="U124" s="161"/>
      <c r="W124" s="161"/>
      <c r="Y124" s="19"/>
      <c r="Z124" s="98"/>
      <c r="AB124" s="228"/>
      <c r="AC124" s="161"/>
      <c r="AE124" s="161"/>
      <c r="AG124" s="19"/>
      <c r="AH124" s="98"/>
      <c r="AJ124" s="106"/>
      <c r="AK124" s="161"/>
      <c r="AM124" s="161"/>
      <c r="AO124" s="19"/>
      <c r="AP124" s="98"/>
      <c r="AR124" s="106"/>
      <c r="AS124" s="161"/>
      <c r="AU124" s="161"/>
      <c r="AV124" s="167"/>
      <c r="AW124" s="19"/>
      <c r="AX124" s="98"/>
    </row>
    <row r="125" spans="2:50" ht="12.75">
      <c r="B125" s="314" t="s">
        <v>516</v>
      </c>
      <c r="D125" s="151"/>
      <c r="E125" s="161"/>
      <c r="G125" s="161"/>
      <c r="I125" s="19"/>
      <c r="J125" s="98"/>
      <c r="L125" s="151"/>
      <c r="M125" s="161"/>
      <c r="O125" s="161"/>
      <c r="Q125" s="19"/>
      <c r="R125" s="98"/>
      <c r="T125" s="151"/>
      <c r="U125" s="161"/>
      <c r="W125" s="161"/>
      <c r="Y125" s="19"/>
      <c r="Z125" s="98"/>
      <c r="AB125" s="151"/>
      <c r="AC125" s="161"/>
      <c r="AE125" s="161"/>
      <c r="AG125" s="19"/>
      <c r="AH125" s="98"/>
      <c r="AJ125" s="151"/>
      <c r="AK125" s="161"/>
      <c r="AM125" s="161"/>
      <c r="AO125" s="19"/>
      <c r="AP125" s="98"/>
      <c r="AR125" s="151"/>
      <c r="AS125" s="161"/>
      <c r="AU125" s="161"/>
      <c r="AV125" s="167"/>
      <c r="AW125" s="19"/>
      <c r="AX125" s="98"/>
    </row>
    <row r="126" spans="2:50" ht="12.75">
      <c r="B126" s="172" t="s">
        <v>106</v>
      </c>
      <c r="D126" s="228">
        <v>1335</v>
      </c>
      <c r="E126" s="19">
        <f>+F126-D126</f>
        <v>347</v>
      </c>
      <c r="F126" s="222">
        <v>1682</v>
      </c>
      <c r="G126" s="19">
        <f>+H126-F126</f>
        <v>185</v>
      </c>
      <c r="H126" s="222">
        <v>1867</v>
      </c>
      <c r="I126" s="19">
        <f>+J126-H126</f>
        <v>870</v>
      </c>
      <c r="J126" s="252">
        <v>2737</v>
      </c>
      <c r="L126" s="228">
        <v>1070</v>
      </c>
      <c r="M126" s="19">
        <f>+N126-L126</f>
        <v>281</v>
      </c>
      <c r="N126" s="222">
        <v>1351</v>
      </c>
      <c r="O126" s="19">
        <f>+P126-N126</f>
        <v>135</v>
      </c>
      <c r="P126" s="222">
        <v>1486</v>
      </c>
      <c r="Q126" s="19">
        <f>+R126-P126</f>
        <v>828</v>
      </c>
      <c r="R126" s="252">
        <v>2314</v>
      </c>
      <c r="T126" s="228">
        <v>1070</v>
      </c>
      <c r="U126" s="19">
        <f>+V126-T126</f>
        <v>281</v>
      </c>
      <c r="V126" s="222">
        <v>1351</v>
      </c>
      <c r="W126" s="19">
        <f>+X126-V126</f>
        <v>135</v>
      </c>
      <c r="X126" s="222">
        <v>1486</v>
      </c>
      <c r="Y126" s="19">
        <f>+Z126-X126</f>
        <v>828</v>
      </c>
      <c r="Z126" s="252">
        <v>2314</v>
      </c>
      <c r="AB126" s="228">
        <v>1316</v>
      </c>
      <c r="AC126" s="19">
        <f>+AD126-AB126</f>
        <v>273</v>
      </c>
      <c r="AD126" s="222">
        <v>1589</v>
      </c>
      <c r="AE126" s="19">
        <f>+AF126-AD126</f>
        <v>124</v>
      </c>
      <c r="AF126" s="222">
        <v>1713</v>
      </c>
      <c r="AG126" s="19">
        <f>+AH126-AF126</f>
        <v>935</v>
      </c>
      <c r="AH126" s="252">
        <v>2648</v>
      </c>
      <c r="AJ126" s="228">
        <v>1266</v>
      </c>
      <c r="AK126" s="19">
        <f>+AL126-AJ126</f>
        <v>237</v>
      </c>
      <c r="AL126" s="222">
        <v>1503</v>
      </c>
      <c r="AM126" s="19">
        <f>+AN126-AL126</f>
        <v>165</v>
      </c>
      <c r="AN126" s="222">
        <v>1668</v>
      </c>
      <c r="AO126" s="19">
        <f t="shared" si="90"/>
        <v>894</v>
      </c>
      <c r="AP126" s="252">
        <v>2562</v>
      </c>
      <c r="AR126" s="228">
        <v>1180</v>
      </c>
      <c r="AS126" s="19">
        <f>+AT126-AR126</f>
        <v>199</v>
      </c>
      <c r="AT126" s="222">
        <v>1379</v>
      </c>
      <c r="AU126" s="19">
        <f>+AV126-AT126</f>
        <v>134</v>
      </c>
      <c r="AV126" s="222">
        <v>1513</v>
      </c>
      <c r="AW126" s="19">
        <f aca="true" t="shared" si="95" ref="AW126:AW131">+AX126-AV126</f>
        <v>891</v>
      </c>
      <c r="AX126" s="252">
        <v>2404</v>
      </c>
    </row>
    <row r="127" spans="2:50" ht="12.75">
      <c r="B127" s="172" t="s">
        <v>107</v>
      </c>
      <c r="D127" s="228">
        <v>705</v>
      </c>
      <c r="E127" s="19">
        <f>+F127-D127</f>
        <v>597</v>
      </c>
      <c r="F127" s="222">
        <v>1302</v>
      </c>
      <c r="G127" s="19">
        <f>+H127-F127</f>
        <v>630</v>
      </c>
      <c r="H127" s="222">
        <v>1932</v>
      </c>
      <c r="I127" s="19">
        <f>+J127-H127</f>
        <v>775</v>
      </c>
      <c r="J127" s="252">
        <v>2707</v>
      </c>
      <c r="L127" s="228">
        <v>893</v>
      </c>
      <c r="M127" s="19">
        <f>+N127-L127</f>
        <v>784</v>
      </c>
      <c r="N127" s="222">
        <v>1677</v>
      </c>
      <c r="O127" s="19">
        <f>+P127-N127</f>
        <v>820</v>
      </c>
      <c r="P127" s="222">
        <v>2497</v>
      </c>
      <c r="Q127" s="19">
        <f>+R127-P127</f>
        <v>916</v>
      </c>
      <c r="R127" s="252">
        <v>3413</v>
      </c>
      <c r="T127" s="228">
        <v>893</v>
      </c>
      <c r="U127" s="19">
        <f>+V127-T127</f>
        <v>784</v>
      </c>
      <c r="V127" s="222">
        <v>1677</v>
      </c>
      <c r="W127" s="19">
        <f>+X127-V127</f>
        <v>820</v>
      </c>
      <c r="X127" s="222">
        <v>2497</v>
      </c>
      <c r="Y127" s="19">
        <f>+Z127-X127</f>
        <v>916</v>
      </c>
      <c r="Z127" s="252">
        <v>3413</v>
      </c>
      <c r="AB127" s="228">
        <v>879</v>
      </c>
      <c r="AC127" s="19">
        <f>+AD127-AB127</f>
        <v>777</v>
      </c>
      <c r="AD127" s="222">
        <v>1656</v>
      </c>
      <c r="AE127" s="19">
        <f>+AF127-AD127</f>
        <v>789</v>
      </c>
      <c r="AF127" s="222">
        <v>2445</v>
      </c>
      <c r="AG127" s="19">
        <f>+AH127-AF127</f>
        <v>940</v>
      </c>
      <c r="AH127" s="252">
        <v>3385</v>
      </c>
      <c r="AJ127" s="228">
        <v>1041</v>
      </c>
      <c r="AK127" s="19">
        <f>+AL127-AJ127</f>
        <v>942</v>
      </c>
      <c r="AL127" s="222">
        <v>1983</v>
      </c>
      <c r="AM127" s="19">
        <f>+AN127-AL127</f>
        <v>907</v>
      </c>
      <c r="AN127" s="222">
        <v>2890</v>
      </c>
      <c r="AO127" s="19">
        <f t="shared" si="90"/>
        <v>1080</v>
      </c>
      <c r="AP127" s="252">
        <v>3970</v>
      </c>
      <c r="AR127" s="228">
        <v>1150</v>
      </c>
      <c r="AS127" s="19">
        <f>+AT127-AR127</f>
        <v>1059</v>
      </c>
      <c r="AT127" s="222">
        <v>2209</v>
      </c>
      <c r="AU127" s="19">
        <f>+AV127-AT127</f>
        <v>1040</v>
      </c>
      <c r="AV127" s="222">
        <v>3249</v>
      </c>
      <c r="AW127" s="19">
        <f t="shared" si="95"/>
        <v>1258</v>
      </c>
      <c r="AX127" s="252">
        <v>4507</v>
      </c>
    </row>
    <row r="128" spans="2:50" ht="12.75">
      <c r="B128" s="136" t="s">
        <v>108</v>
      </c>
      <c r="D128" s="228">
        <v>1749</v>
      </c>
      <c r="E128" s="19">
        <f>+F128-D128</f>
        <v>1368</v>
      </c>
      <c r="F128" s="222">
        <v>3117</v>
      </c>
      <c r="G128" s="19">
        <f>+H128-F128</f>
        <v>1791</v>
      </c>
      <c r="H128" s="222">
        <v>4908</v>
      </c>
      <c r="I128" s="19">
        <f>+J128-H128</f>
        <v>1670</v>
      </c>
      <c r="J128" s="252">
        <v>6578</v>
      </c>
      <c r="L128" s="228">
        <v>1260</v>
      </c>
      <c r="M128" s="19">
        <f>+N128-L128</f>
        <v>804</v>
      </c>
      <c r="N128" s="222">
        <v>2064</v>
      </c>
      <c r="O128" s="19">
        <f>+P128-N128</f>
        <v>1122</v>
      </c>
      <c r="P128" s="222">
        <v>3186</v>
      </c>
      <c r="Q128" s="19">
        <f>+R128-P128</f>
        <v>1221</v>
      </c>
      <c r="R128" s="252">
        <v>4407</v>
      </c>
      <c r="T128" s="228">
        <v>1260</v>
      </c>
      <c r="U128" s="19">
        <f>+V128-T128</f>
        <v>804</v>
      </c>
      <c r="V128" s="222">
        <v>2064</v>
      </c>
      <c r="W128" s="19">
        <f>+X128-V128</f>
        <v>1122</v>
      </c>
      <c r="X128" s="222">
        <v>3186</v>
      </c>
      <c r="Y128" s="19">
        <f>+Z128-X128</f>
        <v>1221</v>
      </c>
      <c r="Z128" s="252">
        <v>4407</v>
      </c>
      <c r="AB128" s="228">
        <v>1371</v>
      </c>
      <c r="AC128" s="19">
        <f>+AD128-AB128</f>
        <v>1052</v>
      </c>
      <c r="AD128" s="222">
        <v>2423</v>
      </c>
      <c r="AE128" s="19">
        <f>+AF128-AD128</f>
        <v>1623</v>
      </c>
      <c r="AF128" s="222">
        <v>4046</v>
      </c>
      <c r="AG128" s="19">
        <f>+AH128-AF128</f>
        <v>1625</v>
      </c>
      <c r="AH128" s="252">
        <v>5671</v>
      </c>
      <c r="AJ128" s="228">
        <v>1750</v>
      </c>
      <c r="AK128" s="19">
        <f>+AL128-AJ128</f>
        <v>1316</v>
      </c>
      <c r="AL128" s="222">
        <v>3066</v>
      </c>
      <c r="AM128" s="19">
        <f>+AN128-AL128</f>
        <v>1862</v>
      </c>
      <c r="AN128" s="222">
        <v>4928</v>
      </c>
      <c r="AO128" s="19">
        <f t="shared" si="90"/>
        <v>2392</v>
      </c>
      <c r="AP128" s="252">
        <v>7320</v>
      </c>
      <c r="AR128" s="228">
        <v>2107</v>
      </c>
      <c r="AS128" s="19">
        <f>+AT128-AR128</f>
        <v>1547</v>
      </c>
      <c r="AT128" s="222">
        <v>3654</v>
      </c>
      <c r="AU128" s="19">
        <f>+AV128-AT128</f>
        <v>1759</v>
      </c>
      <c r="AV128" s="222">
        <v>5413</v>
      </c>
      <c r="AW128" s="19">
        <f t="shared" si="95"/>
        <v>1898</v>
      </c>
      <c r="AX128" s="252">
        <v>7311</v>
      </c>
    </row>
    <row r="129" spans="2:50" ht="12.75">
      <c r="B129" s="136" t="s">
        <v>141</v>
      </c>
      <c r="D129" s="228">
        <v>1074</v>
      </c>
      <c r="E129" s="19">
        <f>+F129-D129</f>
        <v>820</v>
      </c>
      <c r="F129" s="222">
        <v>1894</v>
      </c>
      <c r="G129" s="19">
        <f>+H129-F129</f>
        <v>1016</v>
      </c>
      <c r="H129" s="222">
        <v>2910</v>
      </c>
      <c r="I129" s="19">
        <f>+J129-H129</f>
        <v>727</v>
      </c>
      <c r="J129" s="252">
        <v>3637</v>
      </c>
      <c r="L129" s="228">
        <v>724</v>
      </c>
      <c r="M129" s="19">
        <f>+N129-L129</f>
        <v>630</v>
      </c>
      <c r="N129" s="222">
        <v>1354</v>
      </c>
      <c r="O129" s="19">
        <f>+P129-N129</f>
        <v>744</v>
      </c>
      <c r="P129" s="222">
        <v>2098</v>
      </c>
      <c r="Q129" s="19">
        <f>+R129-P129</f>
        <v>1011</v>
      </c>
      <c r="R129" s="252">
        <v>3109</v>
      </c>
      <c r="T129" s="228">
        <v>724</v>
      </c>
      <c r="U129" s="19">
        <f>+V129-T129</f>
        <v>630</v>
      </c>
      <c r="V129" s="222">
        <v>1354</v>
      </c>
      <c r="W129" s="19">
        <f>+X129-V129</f>
        <v>744</v>
      </c>
      <c r="X129" s="222">
        <v>2098</v>
      </c>
      <c r="Y129" s="19">
        <f>+Z129-X129</f>
        <v>1011</v>
      </c>
      <c r="Z129" s="252">
        <v>3109</v>
      </c>
      <c r="AB129" s="228">
        <v>1034</v>
      </c>
      <c r="AC129" s="19">
        <f>+AD129-AB129</f>
        <v>1341</v>
      </c>
      <c r="AD129" s="222">
        <v>2375</v>
      </c>
      <c r="AE129" s="19">
        <f>+AF129-AD129</f>
        <v>1490</v>
      </c>
      <c r="AF129" s="222">
        <v>3865</v>
      </c>
      <c r="AG129" s="19">
        <f>+AH129-AF129</f>
        <v>2007</v>
      </c>
      <c r="AH129" s="252">
        <v>5872</v>
      </c>
      <c r="AJ129" s="228">
        <v>1536</v>
      </c>
      <c r="AK129" s="19">
        <f>+AL129-AJ129</f>
        <v>2450</v>
      </c>
      <c r="AL129" s="222">
        <v>3986</v>
      </c>
      <c r="AM129" s="19">
        <f>+AN129-AL129</f>
        <v>2071</v>
      </c>
      <c r="AN129" s="222">
        <v>6057</v>
      </c>
      <c r="AO129" s="19">
        <f t="shared" si="90"/>
        <v>1972</v>
      </c>
      <c r="AP129" s="252">
        <v>8029</v>
      </c>
      <c r="AR129" s="228">
        <v>1558</v>
      </c>
      <c r="AS129" s="19">
        <f>+AT129-AR129</f>
        <v>1851</v>
      </c>
      <c r="AT129" s="222">
        <v>3409</v>
      </c>
      <c r="AU129" s="19">
        <f>+AV129-AT129</f>
        <v>1613</v>
      </c>
      <c r="AV129" s="222">
        <v>5022</v>
      </c>
      <c r="AW129" s="19">
        <f t="shared" si="95"/>
        <v>2044</v>
      </c>
      <c r="AX129" s="252">
        <v>7066</v>
      </c>
    </row>
    <row r="130" spans="2:50" ht="12.75">
      <c r="B130" s="278" t="s">
        <v>140</v>
      </c>
      <c r="D130" s="170">
        <f aca="true" t="shared" si="96" ref="D130:J130">SUM(D126:D129)</f>
        <v>4863</v>
      </c>
      <c r="E130" s="24">
        <f t="shared" si="96"/>
        <v>3132</v>
      </c>
      <c r="F130" s="24">
        <f t="shared" si="96"/>
        <v>7995</v>
      </c>
      <c r="G130" s="56">
        <f t="shared" si="96"/>
        <v>3622</v>
      </c>
      <c r="H130" s="56">
        <f t="shared" si="96"/>
        <v>11617</v>
      </c>
      <c r="I130" s="23">
        <f t="shared" si="96"/>
        <v>4042</v>
      </c>
      <c r="J130" s="146">
        <f t="shared" si="96"/>
        <v>15659</v>
      </c>
      <c r="L130" s="170">
        <f aca="true" t="shared" si="97" ref="L130:R130">SUM(L126:L129)</f>
        <v>3947</v>
      </c>
      <c r="M130" s="24">
        <f t="shared" si="97"/>
        <v>2499</v>
      </c>
      <c r="N130" s="24">
        <f t="shared" si="97"/>
        <v>6446</v>
      </c>
      <c r="O130" s="56">
        <f t="shared" si="97"/>
        <v>2821</v>
      </c>
      <c r="P130" s="56">
        <f t="shared" si="97"/>
        <v>9267</v>
      </c>
      <c r="Q130" s="23">
        <f t="shared" si="97"/>
        <v>3976</v>
      </c>
      <c r="R130" s="146">
        <f t="shared" si="97"/>
        <v>13243</v>
      </c>
      <c r="T130" s="170">
        <f aca="true" t="shared" si="98" ref="T130:Z130">SUM(T126:T129)</f>
        <v>3947</v>
      </c>
      <c r="U130" s="24">
        <f t="shared" si="98"/>
        <v>2499</v>
      </c>
      <c r="V130" s="24">
        <f t="shared" si="98"/>
        <v>6446</v>
      </c>
      <c r="W130" s="56">
        <f t="shared" si="98"/>
        <v>2821</v>
      </c>
      <c r="X130" s="56">
        <f t="shared" si="98"/>
        <v>9267</v>
      </c>
      <c r="Y130" s="23">
        <f t="shared" si="98"/>
        <v>3976</v>
      </c>
      <c r="Z130" s="146">
        <f t="shared" si="98"/>
        <v>13243</v>
      </c>
      <c r="AB130" s="170">
        <f aca="true" t="shared" si="99" ref="AB130:AH130">SUM(AB126:AB129)</f>
        <v>4600</v>
      </c>
      <c r="AC130" s="24">
        <f t="shared" si="99"/>
        <v>3443</v>
      </c>
      <c r="AD130" s="24">
        <f t="shared" si="99"/>
        <v>8043</v>
      </c>
      <c r="AE130" s="56">
        <f t="shared" si="99"/>
        <v>4026</v>
      </c>
      <c r="AF130" s="56">
        <f t="shared" si="99"/>
        <v>12069</v>
      </c>
      <c r="AG130" s="23">
        <f t="shared" si="99"/>
        <v>5507</v>
      </c>
      <c r="AH130" s="146">
        <f t="shared" si="99"/>
        <v>17576</v>
      </c>
      <c r="AJ130" s="170">
        <f>SUM(AJ126:AJ129)</f>
        <v>5593</v>
      </c>
      <c r="AK130" s="24">
        <f>SUM(AK126:AK129)</f>
        <v>4945</v>
      </c>
      <c r="AL130" s="24">
        <f>SUM(AL126:AL129)</f>
        <v>10538</v>
      </c>
      <c r="AM130" s="56">
        <f>SUM(AM126:AM129)</f>
        <v>5005</v>
      </c>
      <c r="AN130" s="56">
        <f>SUM(AN126:AN129)</f>
        <v>15543</v>
      </c>
      <c r="AO130" s="23">
        <f t="shared" si="90"/>
        <v>6338</v>
      </c>
      <c r="AP130" s="146">
        <f>+AP126+AP127+AP128+AP129</f>
        <v>21881</v>
      </c>
      <c r="AR130" s="170">
        <f>+SUM(AR126:AR129)</f>
        <v>5995</v>
      </c>
      <c r="AS130" s="24">
        <f>SUM(AS126:AS129)</f>
        <v>4656</v>
      </c>
      <c r="AT130" s="24">
        <f>SUM(AT126:AT129)</f>
        <v>10651</v>
      </c>
      <c r="AU130" s="56">
        <f>SUM(AU126:AU129)</f>
        <v>4546</v>
      </c>
      <c r="AV130" s="24">
        <f>SUM(AV126:AV129)</f>
        <v>15197</v>
      </c>
      <c r="AW130" s="23">
        <f t="shared" si="95"/>
        <v>6091</v>
      </c>
      <c r="AX130" s="146">
        <f>+AX126+AX127+AX128+AX129</f>
        <v>21288</v>
      </c>
    </row>
    <row r="131" spans="2:50" s="161" customFormat="1" ht="12" customHeight="1">
      <c r="B131" s="166" t="s">
        <v>406</v>
      </c>
      <c r="D131" s="245">
        <v>443</v>
      </c>
      <c r="E131" s="83">
        <f>+F131-D131</f>
        <v>459</v>
      </c>
      <c r="F131" s="246">
        <v>902</v>
      </c>
      <c r="G131" s="83">
        <f>+H131-F131</f>
        <v>454</v>
      </c>
      <c r="H131" s="246">
        <v>1356</v>
      </c>
      <c r="I131" s="83">
        <f>+J131-H131</f>
        <v>443</v>
      </c>
      <c r="J131" s="256">
        <v>1799</v>
      </c>
      <c r="L131" s="245">
        <v>454</v>
      </c>
      <c r="M131" s="83">
        <f>+N131-L131</f>
        <v>438</v>
      </c>
      <c r="N131" s="246">
        <v>892</v>
      </c>
      <c r="O131" s="83">
        <f>+P131-N131</f>
        <v>422</v>
      </c>
      <c r="P131" s="246">
        <v>1314</v>
      </c>
      <c r="Q131" s="83">
        <f>+R131-P131</f>
        <v>420</v>
      </c>
      <c r="R131" s="256">
        <v>1734</v>
      </c>
      <c r="T131" s="245">
        <v>454</v>
      </c>
      <c r="U131" s="83">
        <f>+V131-T131</f>
        <v>438</v>
      </c>
      <c r="V131" s="246">
        <v>892</v>
      </c>
      <c r="W131" s="83">
        <f>+X131-V131</f>
        <v>422</v>
      </c>
      <c r="X131" s="246">
        <v>1314</v>
      </c>
      <c r="Y131" s="83">
        <f>+Z131-X131</f>
        <v>420</v>
      </c>
      <c r="Z131" s="256">
        <v>1734</v>
      </c>
      <c r="AB131" s="245">
        <v>398</v>
      </c>
      <c r="AC131" s="83">
        <f>+AD131-AB131</f>
        <v>382</v>
      </c>
      <c r="AD131" s="246">
        <v>780</v>
      </c>
      <c r="AE131" s="83">
        <f>+AF131-AD131</f>
        <v>355</v>
      </c>
      <c r="AF131" s="246">
        <v>1135</v>
      </c>
      <c r="AG131" s="83">
        <f>+AH131-AF131</f>
        <v>373</v>
      </c>
      <c r="AH131" s="256">
        <v>1508</v>
      </c>
      <c r="AJ131" s="245">
        <v>375</v>
      </c>
      <c r="AK131" s="83">
        <f>+AL131-AJ131</f>
        <v>383</v>
      </c>
      <c r="AL131" s="246">
        <v>758</v>
      </c>
      <c r="AM131" s="83">
        <f>+AN131-AL131</f>
        <v>356</v>
      </c>
      <c r="AN131" s="246">
        <v>1114</v>
      </c>
      <c r="AO131" s="83">
        <f t="shared" si="90"/>
        <v>289</v>
      </c>
      <c r="AP131" s="256">
        <v>1403</v>
      </c>
      <c r="AR131" s="245">
        <v>333</v>
      </c>
      <c r="AS131" s="83">
        <f>+AT131-AR131</f>
        <v>453</v>
      </c>
      <c r="AT131" s="246">
        <v>786</v>
      </c>
      <c r="AU131" s="83">
        <f>+AV131-AT131</f>
        <v>468</v>
      </c>
      <c r="AV131" s="246">
        <v>1254</v>
      </c>
      <c r="AW131" s="83">
        <f t="shared" si="95"/>
        <v>382</v>
      </c>
      <c r="AX131" s="256">
        <v>1636</v>
      </c>
    </row>
    <row r="132" spans="9:68" ht="12.75">
      <c r="I132" s="57"/>
      <c r="P132" s="104"/>
      <c r="AV132" s="167"/>
      <c r="AY132" s="40"/>
      <c r="AZ132" s="40"/>
      <c r="BB132" s="40"/>
      <c r="BC132" s="40"/>
      <c r="BD132" s="40"/>
      <c r="BE132" s="40"/>
      <c r="BF132" s="40"/>
      <c r="BG132" s="40"/>
      <c r="BH132" s="40"/>
      <c r="BJ132" s="40"/>
      <c r="BK132" s="40"/>
      <c r="BL132" s="40"/>
      <c r="BM132" s="40"/>
      <c r="BN132" s="40"/>
      <c r="BO132" s="40"/>
      <c r="BP132" s="40"/>
    </row>
    <row r="133" ht="12.75">
      <c r="AV133" s="167"/>
    </row>
    <row r="134" spans="2:50" s="51" customFormat="1" ht="17.25" customHeight="1">
      <c r="B134" s="132" t="s">
        <v>519</v>
      </c>
      <c r="D134" s="380" t="s">
        <v>228</v>
      </c>
      <c r="E134" s="381" t="s">
        <v>229</v>
      </c>
      <c r="F134" s="381" t="s">
        <v>230</v>
      </c>
      <c r="G134" s="381" t="s">
        <v>231</v>
      </c>
      <c r="H134" s="381" t="s">
        <v>232</v>
      </c>
      <c r="I134" s="381" t="s">
        <v>233</v>
      </c>
      <c r="J134" s="382" t="s">
        <v>234</v>
      </c>
      <c r="L134" s="380" t="s">
        <v>243</v>
      </c>
      <c r="M134" s="381" t="s">
        <v>244</v>
      </c>
      <c r="N134" s="381" t="s">
        <v>245</v>
      </c>
      <c r="O134" s="381" t="s">
        <v>246</v>
      </c>
      <c r="P134" s="381" t="s">
        <v>247</v>
      </c>
      <c r="Q134" s="381" t="s">
        <v>248</v>
      </c>
      <c r="R134" s="382" t="s">
        <v>249</v>
      </c>
      <c r="T134" s="380" t="str">
        <f>+T4</f>
        <v>IQ 2014</v>
      </c>
      <c r="U134" s="381" t="str">
        <f aca="true" t="shared" si="100" ref="U134:Z134">+U4</f>
        <v>IIQ 2014</v>
      </c>
      <c r="V134" s="381" t="str">
        <f t="shared" si="100"/>
        <v>IH 2014</v>
      </c>
      <c r="W134" s="381" t="str">
        <f t="shared" si="100"/>
        <v>III Q 2014</v>
      </c>
      <c r="X134" s="381" t="str">
        <f t="shared" si="100"/>
        <v>9M 2014</v>
      </c>
      <c r="Y134" s="381" t="str">
        <f t="shared" si="100"/>
        <v>IV Q 2014</v>
      </c>
      <c r="Z134" s="382" t="str">
        <f t="shared" si="100"/>
        <v>FY 2014</v>
      </c>
      <c r="AB134" s="380" t="str">
        <f>+AB4</f>
        <v>IQ 2015</v>
      </c>
      <c r="AC134" s="381" t="str">
        <f aca="true" t="shared" si="101" ref="AC134:AH134">+AC4</f>
        <v>IIQ 2015</v>
      </c>
      <c r="AD134" s="381" t="str">
        <f t="shared" si="101"/>
        <v>IH 2015</v>
      </c>
      <c r="AE134" s="381" t="str">
        <f t="shared" si="101"/>
        <v>III Q 2015</v>
      </c>
      <c r="AF134" s="381" t="str">
        <f t="shared" si="101"/>
        <v>9M 2015</v>
      </c>
      <c r="AG134" s="381" t="str">
        <f t="shared" si="101"/>
        <v>IV Q 2015</v>
      </c>
      <c r="AH134" s="382" t="str">
        <f t="shared" si="101"/>
        <v>FY 2015</v>
      </c>
      <c r="AJ134" s="380" t="s">
        <v>289</v>
      </c>
      <c r="AK134" s="381" t="s">
        <v>290</v>
      </c>
      <c r="AL134" s="381" t="s">
        <v>291</v>
      </c>
      <c r="AM134" s="381" t="s">
        <v>292</v>
      </c>
      <c r="AN134" s="381" t="s">
        <v>293</v>
      </c>
      <c r="AO134" s="381" t="s">
        <v>294</v>
      </c>
      <c r="AP134" s="382" t="s">
        <v>365</v>
      </c>
      <c r="AR134" s="380" t="str">
        <f>+AR115</f>
        <v>IQ 2017</v>
      </c>
      <c r="AS134" s="380" t="str">
        <f aca="true" t="shared" si="102" ref="AS134:AX134">+AS115</f>
        <v>IIQ 2017</v>
      </c>
      <c r="AT134" s="380" t="str">
        <f t="shared" si="102"/>
        <v>IH 2017</v>
      </c>
      <c r="AU134" s="380" t="str">
        <f t="shared" si="102"/>
        <v>III Q 2017</v>
      </c>
      <c r="AV134" s="380" t="str">
        <f t="shared" si="102"/>
        <v>9M 2017</v>
      </c>
      <c r="AW134" s="380" t="str">
        <f t="shared" si="102"/>
        <v>IV Q 2017</v>
      </c>
      <c r="AX134" s="380" t="str">
        <f t="shared" si="102"/>
        <v>FY 2017</v>
      </c>
    </row>
    <row r="135" spans="2:50" ht="12.75">
      <c r="B135" s="157"/>
      <c r="D135" s="106"/>
      <c r="I135" s="57"/>
      <c r="J135" s="98"/>
      <c r="L135" s="106"/>
      <c r="R135" s="98"/>
      <c r="T135" s="106"/>
      <c r="Z135" s="98"/>
      <c r="AB135" s="106"/>
      <c r="AH135" s="98"/>
      <c r="AJ135" s="187"/>
      <c r="AK135" s="188"/>
      <c r="AL135" s="188"/>
      <c r="AM135" s="188"/>
      <c r="AN135" s="188"/>
      <c r="AO135" s="188"/>
      <c r="AP135" s="189"/>
      <c r="AR135" s="187"/>
      <c r="AS135" s="188"/>
      <c r="AT135" s="188"/>
      <c r="AU135" s="188"/>
      <c r="AV135" s="686"/>
      <c r="AW135" s="188"/>
      <c r="AX135" s="189"/>
    </row>
    <row r="136" spans="2:50" ht="12.75">
      <c r="B136" s="314" t="s">
        <v>520</v>
      </c>
      <c r="D136" s="106"/>
      <c r="I136" s="57"/>
      <c r="J136" s="98"/>
      <c r="L136" s="106"/>
      <c r="R136" s="98"/>
      <c r="T136" s="106"/>
      <c r="Z136" s="98"/>
      <c r="AB136" s="106"/>
      <c r="AH136" s="98"/>
      <c r="AJ136" s="106"/>
      <c r="AP136" s="98"/>
      <c r="AR136" s="106"/>
      <c r="AV136" s="167"/>
      <c r="AX136" s="98"/>
    </row>
    <row r="137" spans="2:61" ht="12.75">
      <c r="B137" s="172" t="s">
        <v>521</v>
      </c>
      <c r="D137" s="228">
        <v>355</v>
      </c>
      <c r="E137" s="19">
        <f>+F137-D137</f>
        <v>348</v>
      </c>
      <c r="F137" s="222">
        <v>703</v>
      </c>
      <c r="G137" s="19">
        <f>+H137-F137</f>
        <v>557</v>
      </c>
      <c r="H137" s="222">
        <v>1260</v>
      </c>
      <c r="I137" s="19">
        <f>+J137-H137</f>
        <v>680</v>
      </c>
      <c r="J137" s="252">
        <v>1940</v>
      </c>
      <c r="L137" s="228">
        <v>639</v>
      </c>
      <c r="M137" s="19">
        <f>+N137-L137</f>
        <v>551</v>
      </c>
      <c r="N137" s="222">
        <v>1190</v>
      </c>
      <c r="O137" s="19">
        <f>+P137-N137</f>
        <v>716</v>
      </c>
      <c r="P137" s="222">
        <v>1906</v>
      </c>
      <c r="Q137" s="19">
        <f>+R137-P137</f>
        <v>714</v>
      </c>
      <c r="R137" s="252">
        <v>2620</v>
      </c>
      <c r="T137" s="228">
        <v>639</v>
      </c>
      <c r="U137" s="19">
        <f>+V137-T137</f>
        <v>551</v>
      </c>
      <c r="V137" s="222">
        <v>1190</v>
      </c>
      <c r="W137" s="19">
        <f>+X137-V137</f>
        <v>716</v>
      </c>
      <c r="X137" s="222">
        <v>1906</v>
      </c>
      <c r="Y137" s="19">
        <f>+Z137-X137</f>
        <v>714</v>
      </c>
      <c r="Z137" s="252">
        <v>2620</v>
      </c>
      <c r="AB137" s="228">
        <v>665</v>
      </c>
      <c r="AC137" s="19">
        <f>+AD137-AB137</f>
        <v>655</v>
      </c>
      <c r="AD137" s="222">
        <v>1320</v>
      </c>
      <c r="AE137" s="19">
        <f>+AF137-AD137</f>
        <v>633</v>
      </c>
      <c r="AF137" s="222">
        <v>1953</v>
      </c>
      <c r="AG137" s="19">
        <f>+AH137-AF137</f>
        <v>593</v>
      </c>
      <c r="AH137" s="252">
        <v>2546</v>
      </c>
      <c r="AJ137" s="228">
        <v>561</v>
      </c>
      <c r="AK137" s="19">
        <f>+AL137-AJ137</f>
        <v>564</v>
      </c>
      <c r="AL137" s="222">
        <v>1125</v>
      </c>
      <c r="AM137" s="19">
        <f>+AN137-AL137</f>
        <v>542</v>
      </c>
      <c r="AN137" s="222">
        <v>1667</v>
      </c>
      <c r="AO137" s="19">
        <f>+AP137-AN137</f>
        <v>496</v>
      </c>
      <c r="AP137" s="252">
        <v>2163</v>
      </c>
      <c r="AR137" s="228">
        <v>467</v>
      </c>
      <c r="AS137" s="19">
        <f>+AT137-AR137</f>
        <v>481</v>
      </c>
      <c r="AT137" s="222">
        <v>948</v>
      </c>
      <c r="AU137" s="19">
        <f>+AV137-AT137</f>
        <v>472</v>
      </c>
      <c r="AV137" s="222">
        <v>1420</v>
      </c>
      <c r="AW137" s="19">
        <f>+AX137-AV137</f>
        <v>454</v>
      </c>
      <c r="AX137" s="252">
        <v>1874</v>
      </c>
      <c r="AY137" s="40"/>
      <c r="AZ137" s="40"/>
      <c r="BA137" s="40"/>
      <c r="BC137" s="40"/>
      <c r="BD137" s="40"/>
      <c r="BE137" s="40"/>
      <c r="BF137" s="40"/>
      <c r="BG137" s="40"/>
      <c r="BH137" s="40"/>
      <c r="BI137" s="40"/>
    </row>
    <row r="138" spans="2:50" ht="14.25">
      <c r="B138" s="316" t="s">
        <v>524</v>
      </c>
      <c r="C138" s="161"/>
      <c r="D138" s="221">
        <v>443</v>
      </c>
      <c r="E138" s="19">
        <f>+F138-D138</f>
        <v>404</v>
      </c>
      <c r="F138" s="220">
        <v>847</v>
      </c>
      <c r="G138" s="19">
        <f>+H138-F138</f>
        <v>418</v>
      </c>
      <c r="H138" s="220">
        <v>1265</v>
      </c>
      <c r="I138" s="19">
        <f>+J138-H138</f>
        <v>375</v>
      </c>
      <c r="J138" s="247">
        <v>1640</v>
      </c>
      <c r="K138" s="161"/>
      <c r="L138" s="221">
        <v>410</v>
      </c>
      <c r="M138" s="19">
        <f>+N138-L138</f>
        <v>390</v>
      </c>
      <c r="N138" s="220">
        <v>800</v>
      </c>
      <c r="O138" s="19">
        <f>+P138-N138</f>
        <v>369</v>
      </c>
      <c r="P138" s="220">
        <v>1169</v>
      </c>
      <c r="Q138" s="19">
        <f>+R138-P138</f>
        <v>372</v>
      </c>
      <c r="R138" s="247">
        <v>1541</v>
      </c>
      <c r="S138" s="161"/>
      <c r="T138" s="221">
        <v>410</v>
      </c>
      <c r="U138" s="19">
        <f>+V138-T138</f>
        <v>390</v>
      </c>
      <c r="V138" s="220">
        <v>800</v>
      </c>
      <c r="W138" s="19">
        <f>+X138-V138</f>
        <v>369</v>
      </c>
      <c r="X138" s="220">
        <v>1169</v>
      </c>
      <c r="Y138" s="19">
        <f>+Z138-X138</f>
        <v>372</v>
      </c>
      <c r="Z138" s="247">
        <v>1541</v>
      </c>
      <c r="AA138" s="161"/>
      <c r="AB138" s="228">
        <v>363</v>
      </c>
      <c r="AC138" s="19">
        <f>+AD138-AB138</f>
        <v>442</v>
      </c>
      <c r="AD138" s="174">
        <v>805</v>
      </c>
      <c r="AE138" s="19">
        <f>+AF138-AD138</f>
        <v>448</v>
      </c>
      <c r="AF138" s="220">
        <v>1253</v>
      </c>
      <c r="AG138" s="19">
        <f>+AH138-AF138</f>
        <v>555</v>
      </c>
      <c r="AH138" s="247">
        <v>1808</v>
      </c>
      <c r="AI138" s="161"/>
      <c r="AJ138" s="221">
        <v>586</v>
      </c>
      <c r="AK138" s="19">
        <f>+AL138-AJ138</f>
        <v>514</v>
      </c>
      <c r="AL138" s="220">
        <v>1100</v>
      </c>
      <c r="AM138" s="19">
        <f>+AN138-AL138</f>
        <v>454</v>
      </c>
      <c r="AN138" s="220">
        <v>1554</v>
      </c>
      <c r="AO138" s="19">
        <f>+AP138-AN138</f>
        <v>426</v>
      </c>
      <c r="AP138" s="247">
        <v>1980</v>
      </c>
      <c r="AQ138" s="161"/>
      <c r="AR138" s="221">
        <v>479</v>
      </c>
      <c r="AS138" s="19">
        <f>+AT138-AR138</f>
        <v>669</v>
      </c>
      <c r="AT138" s="220">
        <v>1148</v>
      </c>
      <c r="AU138" s="19">
        <f>+AV138-AT138</f>
        <v>510</v>
      </c>
      <c r="AV138" s="220">
        <v>1658</v>
      </c>
      <c r="AW138" s="19">
        <f>+AX138-AV138</f>
        <v>469</v>
      </c>
      <c r="AX138" s="247">
        <v>2127</v>
      </c>
    </row>
    <row r="139" spans="2:50" ht="12.75">
      <c r="B139" s="317" t="s">
        <v>523</v>
      </c>
      <c r="C139" s="161"/>
      <c r="D139" s="320">
        <f aca="true" t="shared" si="103" ref="D139:J139">+D137+D138</f>
        <v>798</v>
      </c>
      <c r="E139" s="266">
        <f t="shared" si="103"/>
        <v>752</v>
      </c>
      <c r="F139" s="321">
        <f t="shared" si="103"/>
        <v>1550</v>
      </c>
      <c r="G139" s="266">
        <f t="shared" si="103"/>
        <v>975</v>
      </c>
      <c r="H139" s="321">
        <f t="shared" si="103"/>
        <v>2525</v>
      </c>
      <c r="I139" s="266">
        <f t="shared" si="103"/>
        <v>1055</v>
      </c>
      <c r="J139" s="322">
        <f t="shared" si="103"/>
        <v>3580</v>
      </c>
      <c r="K139" s="161"/>
      <c r="L139" s="320">
        <f aca="true" t="shared" si="104" ref="L139:R139">+L137+L138</f>
        <v>1049</v>
      </c>
      <c r="M139" s="266">
        <f t="shared" si="104"/>
        <v>941</v>
      </c>
      <c r="N139" s="321">
        <f t="shared" si="104"/>
        <v>1990</v>
      </c>
      <c r="O139" s="266">
        <f t="shared" si="104"/>
        <v>1085</v>
      </c>
      <c r="P139" s="321">
        <f t="shared" si="104"/>
        <v>3075</v>
      </c>
      <c r="Q139" s="266">
        <f t="shared" si="104"/>
        <v>1086</v>
      </c>
      <c r="R139" s="322">
        <f t="shared" si="104"/>
        <v>4161</v>
      </c>
      <c r="S139" s="161"/>
      <c r="T139" s="320">
        <f aca="true" t="shared" si="105" ref="T139:Z139">+T137+T138</f>
        <v>1049</v>
      </c>
      <c r="U139" s="266">
        <f t="shared" si="105"/>
        <v>941</v>
      </c>
      <c r="V139" s="321">
        <f t="shared" si="105"/>
        <v>1990</v>
      </c>
      <c r="W139" s="266">
        <f t="shared" si="105"/>
        <v>1085</v>
      </c>
      <c r="X139" s="321">
        <f t="shared" si="105"/>
        <v>3075</v>
      </c>
      <c r="Y139" s="266">
        <f t="shared" si="105"/>
        <v>1086</v>
      </c>
      <c r="Z139" s="322">
        <f t="shared" si="105"/>
        <v>4161</v>
      </c>
      <c r="AA139" s="161"/>
      <c r="AB139" s="318">
        <f aca="true" t="shared" si="106" ref="AB139:AH139">+AB137+AB138</f>
        <v>1028</v>
      </c>
      <c r="AC139" s="266">
        <f t="shared" si="106"/>
        <v>1097</v>
      </c>
      <c r="AD139" s="319">
        <f t="shared" si="106"/>
        <v>2125</v>
      </c>
      <c r="AE139" s="266">
        <f t="shared" si="106"/>
        <v>1081</v>
      </c>
      <c r="AF139" s="321">
        <f t="shared" si="106"/>
        <v>3206</v>
      </c>
      <c r="AG139" s="266">
        <f t="shared" si="106"/>
        <v>1148</v>
      </c>
      <c r="AH139" s="322">
        <f t="shared" si="106"/>
        <v>4354</v>
      </c>
      <c r="AI139" s="161"/>
      <c r="AJ139" s="320">
        <f aca="true" t="shared" si="107" ref="AJ139:AP139">+AJ137+AJ138</f>
        <v>1147</v>
      </c>
      <c r="AK139" s="266">
        <f t="shared" si="107"/>
        <v>1078</v>
      </c>
      <c r="AL139" s="266">
        <f t="shared" si="107"/>
        <v>2225</v>
      </c>
      <c r="AM139" s="266">
        <f t="shared" si="107"/>
        <v>996</v>
      </c>
      <c r="AN139" s="266">
        <f t="shared" si="107"/>
        <v>3221</v>
      </c>
      <c r="AO139" s="266">
        <f t="shared" si="107"/>
        <v>922</v>
      </c>
      <c r="AP139" s="386">
        <f t="shared" si="107"/>
        <v>4143</v>
      </c>
      <c r="AQ139" s="161"/>
      <c r="AR139" s="387">
        <f>+AR137+AR138</f>
        <v>946</v>
      </c>
      <c r="AS139" s="266">
        <f aca="true" t="shared" si="108" ref="AS139:AX139">+AS137+AS138</f>
        <v>1150</v>
      </c>
      <c r="AT139" s="266">
        <f t="shared" si="108"/>
        <v>2096</v>
      </c>
      <c r="AU139" s="266">
        <f t="shared" si="108"/>
        <v>982</v>
      </c>
      <c r="AV139" s="266">
        <f t="shared" si="108"/>
        <v>3078</v>
      </c>
      <c r="AW139" s="266">
        <f t="shared" si="108"/>
        <v>923</v>
      </c>
      <c r="AX139" s="386">
        <f t="shared" si="108"/>
        <v>4001</v>
      </c>
    </row>
    <row r="140" spans="4:43" ht="12.75">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row>
    <row r="141" spans="2:43" ht="12.75">
      <c r="B141" s="327" t="s">
        <v>366</v>
      </c>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row>
    <row r="142" ht="12.75">
      <c r="B142" s="328" t="s">
        <v>368</v>
      </c>
    </row>
    <row r="143" spans="2:43" ht="12.75">
      <c r="B143" s="329" t="s">
        <v>525</v>
      </c>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row>
    <row r="144" ht="12.75">
      <c r="B144" s="330" t="s">
        <v>522</v>
      </c>
    </row>
    <row r="145" ht="12.75">
      <c r="B145" s="329"/>
    </row>
    <row r="146" spans="2:12" ht="12.75">
      <c r="B146" s="330"/>
      <c r="L146" s="40"/>
    </row>
    <row r="147" ht="12.75">
      <c r="L147" s="40"/>
    </row>
    <row r="148" ht="12.75">
      <c r="L148" s="40"/>
    </row>
    <row r="149" ht="12.75">
      <c r="L149" s="40"/>
    </row>
    <row r="150" ht="12.75">
      <c r="L150" s="40"/>
    </row>
    <row r="151" ht="12.75">
      <c r="L151" s="40"/>
    </row>
    <row r="152" ht="12.75">
      <c r="L152" s="40"/>
    </row>
    <row r="153" ht="12.75">
      <c r="L153" s="40"/>
    </row>
    <row r="154" ht="12.75">
      <c r="L154" s="40"/>
    </row>
    <row r="155" ht="12.75">
      <c r="L155" s="40"/>
    </row>
    <row r="156" ht="12.75">
      <c r="L156" s="40"/>
    </row>
    <row r="157" ht="12.75">
      <c r="L157" s="40"/>
    </row>
    <row r="158" ht="12.75">
      <c r="L158" s="40"/>
    </row>
    <row r="159" ht="12.75">
      <c r="L159" s="40"/>
    </row>
    <row r="160" ht="12.75">
      <c r="L160" s="40"/>
    </row>
    <row r="161" ht="12.75">
      <c r="L161" s="40"/>
    </row>
    <row r="162" ht="12.75">
      <c r="L162" s="40"/>
    </row>
    <row r="163" ht="12.75">
      <c r="L163" s="40"/>
    </row>
    <row r="164" ht="12.75">
      <c r="L164" s="40"/>
    </row>
    <row r="165" ht="12.75">
      <c r="L165" s="40"/>
    </row>
    <row r="166" ht="12.75">
      <c r="L166" s="40"/>
    </row>
    <row r="167" ht="12.75">
      <c r="L167" s="40"/>
    </row>
    <row r="168" ht="12.75">
      <c r="L168" s="40"/>
    </row>
    <row r="169" ht="12.75">
      <c r="L169" s="40"/>
    </row>
    <row r="170" ht="12.75">
      <c r="L170" s="40"/>
    </row>
    <row r="171" ht="12.75">
      <c r="L171" s="40"/>
    </row>
    <row r="172" ht="12.75">
      <c r="L172" s="40"/>
    </row>
    <row r="173" ht="12.75">
      <c r="L173" s="40"/>
    </row>
    <row r="174" ht="12.75">
      <c r="L174" s="40"/>
    </row>
    <row r="175" ht="12.75">
      <c r="L175" s="40"/>
    </row>
    <row r="176" ht="12.75">
      <c r="L176" s="40"/>
    </row>
    <row r="177" ht="12.75">
      <c r="L177" s="40"/>
    </row>
    <row r="178" ht="12.75">
      <c r="L178" s="40"/>
    </row>
    <row r="179" ht="12.75">
      <c r="L179" s="40"/>
    </row>
    <row r="180" ht="12.75">
      <c r="L180" s="40"/>
    </row>
    <row r="181" ht="12.75">
      <c r="L181" s="40"/>
    </row>
    <row r="182" ht="12.75">
      <c r="L182" s="40"/>
    </row>
    <row r="183" ht="12.75">
      <c r="L183" s="40"/>
    </row>
    <row r="184" ht="12.75">
      <c r="L184" s="40"/>
    </row>
    <row r="185" ht="12.75">
      <c r="L185" s="40"/>
    </row>
    <row r="186" ht="12.75">
      <c r="L186" s="40"/>
    </row>
    <row r="187" ht="12.75">
      <c r="L187" s="40"/>
    </row>
    <row r="188" ht="12.75">
      <c r="L188" s="40"/>
    </row>
    <row r="189" ht="12.75">
      <c r="L189" s="40"/>
    </row>
    <row r="190" ht="12.75">
      <c r="L190" s="40"/>
    </row>
    <row r="191" ht="12.75">
      <c r="L191" s="40"/>
    </row>
    <row r="192" ht="12.75">
      <c r="L192" s="40"/>
    </row>
    <row r="193" ht="12.75">
      <c r="L193" s="40"/>
    </row>
    <row r="194" ht="12.75">
      <c r="L194" s="40"/>
    </row>
    <row r="195" ht="12.75">
      <c r="L195" s="40"/>
    </row>
    <row r="196" ht="12.75">
      <c r="L196" s="40"/>
    </row>
    <row r="197" ht="12.75">
      <c r="L197" s="40"/>
    </row>
    <row r="198" ht="12.75">
      <c r="L198" s="40"/>
    </row>
    <row r="199" ht="12.75">
      <c r="L199" s="40"/>
    </row>
    <row r="200" ht="12.75">
      <c r="L200" s="40"/>
    </row>
    <row r="201" ht="12.75">
      <c r="L201" s="40"/>
    </row>
    <row r="202" ht="12.75">
      <c r="L202" s="40"/>
    </row>
    <row r="203" ht="12.75">
      <c r="L203" s="40"/>
    </row>
    <row r="204" ht="12.75">
      <c r="L204" s="40"/>
    </row>
    <row r="205" ht="12.75">
      <c r="L205" s="40"/>
    </row>
    <row r="206" ht="12.75">
      <c r="L206" s="40"/>
    </row>
    <row r="207" ht="12.75">
      <c r="L207" s="40"/>
    </row>
    <row r="208" ht="12.75">
      <c r="L208" s="40"/>
    </row>
    <row r="209" ht="12.75">
      <c r="L209" s="40"/>
    </row>
    <row r="210" ht="12.75">
      <c r="L210" s="40"/>
    </row>
    <row r="211" ht="12.75">
      <c r="L211" s="40"/>
    </row>
    <row r="212" ht="12.75">
      <c r="L212" s="40"/>
    </row>
    <row r="213" ht="12.75">
      <c r="L213" s="40"/>
    </row>
    <row r="214" ht="12.75">
      <c r="L214" s="40"/>
    </row>
    <row r="215" ht="12.75">
      <c r="L215" s="40"/>
    </row>
    <row r="216" ht="12.75">
      <c r="L216" s="40"/>
    </row>
    <row r="217" ht="12.75">
      <c r="L217" s="40"/>
    </row>
    <row r="218" ht="12.75">
      <c r="L218" s="40"/>
    </row>
    <row r="219" ht="12.75">
      <c r="L219" s="40"/>
    </row>
    <row r="220" ht="12.75">
      <c r="L220" s="40"/>
    </row>
    <row r="221" ht="12.75">
      <c r="L221" s="40"/>
    </row>
    <row r="222" ht="12.75">
      <c r="L222" s="40"/>
    </row>
    <row r="223" ht="12.75">
      <c r="L223" s="40"/>
    </row>
    <row r="224" ht="12.75">
      <c r="L224" s="40"/>
    </row>
    <row r="225" ht="12.75">
      <c r="L225" s="40"/>
    </row>
    <row r="226" ht="12.75">
      <c r="L226" s="40"/>
    </row>
    <row r="227" ht="12.75">
      <c r="L227" s="40"/>
    </row>
    <row r="228" ht="12.75">
      <c r="L228" s="40"/>
    </row>
    <row r="229" ht="12.75">
      <c r="L229" s="40"/>
    </row>
    <row r="230" ht="12.75">
      <c r="L230" s="40"/>
    </row>
    <row r="231" ht="12.75">
      <c r="L231" s="40"/>
    </row>
    <row r="232" ht="12.75">
      <c r="L232" s="40"/>
    </row>
    <row r="233" ht="12.75">
      <c r="L233" s="40"/>
    </row>
    <row r="234" ht="12.75">
      <c r="L234" s="40"/>
    </row>
    <row r="235" ht="12.75">
      <c r="L235" s="40"/>
    </row>
    <row r="236" ht="12.75">
      <c r="L236" s="40"/>
    </row>
    <row r="237" ht="12.75">
      <c r="L237" s="40"/>
    </row>
    <row r="238" ht="12.75">
      <c r="L238" s="40"/>
    </row>
    <row r="239" ht="12.75">
      <c r="L239" s="40"/>
    </row>
    <row r="240" ht="12.75">
      <c r="L240" s="40"/>
    </row>
    <row r="241" ht="12.75">
      <c r="L241" s="40"/>
    </row>
    <row r="242" ht="12.75">
      <c r="L242" s="40"/>
    </row>
    <row r="243" ht="12.75">
      <c r="L243" s="40"/>
    </row>
    <row r="244" ht="12.75">
      <c r="L244" s="40"/>
    </row>
    <row r="245" ht="12.75">
      <c r="L245" s="40"/>
    </row>
    <row r="246" ht="12.75">
      <c r="L246" s="40"/>
    </row>
    <row r="247" ht="12.75">
      <c r="L247" s="40"/>
    </row>
    <row r="248" ht="12.75">
      <c r="L248" s="40"/>
    </row>
    <row r="249" ht="12.75">
      <c r="L249" s="40"/>
    </row>
    <row r="250" ht="12.75">
      <c r="L250" s="40"/>
    </row>
    <row r="251" ht="12.75">
      <c r="L251" s="40"/>
    </row>
    <row r="252" ht="12.75">
      <c r="L252" s="40"/>
    </row>
    <row r="253" ht="12.75">
      <c r="L253" s="40"/>
    </row>
    <row r="254" ht="12.75">
      <c r="L254" s="40"/>
    </row>
    <row r="255" ht="12.75">
      <c r="L255" s="40"/>
    </row>
    <row r="256" ht="12.75">
      <c r="L256" s="40"/>
    </row>
    <row r="257" ht="12.75">
      <c r="L257" s="40"/>
    </row>
    <row r="258" ht="12.75">
      <c r="L258" s="40"/>
    </row>
    <row r="259" ht="12.75">
      <c r="L259" s="40"/>
    </row>
    <row r="260" ht="12.75">
      <c r="L260" s="40"/>
    </row>
    <row r="261" ht="12.75">
      <c r="L261" s="40"/>
    </row>
    <row r="262" ht="12.75">
      <c r="L262" s="40"/>
    </row>
    <row r="263" ht="12.75">
      <c r="L263" s="40"/>
    </row>
    <row r="264" ht="12.75">
      <c r="L264" s="40"/>
    </row>
    <row r="265" ht="12.75">
      <c r="L265" s="40"/>
    </row>
    <row r="266" ht="12.75">
      <c r="L266" s="40"/>
    </row>
    <row r="267" ht="12.75">
      <c r="L267" s="40"/>
    </row>
    <row r="268" ht="12.75">
      <c r="L268" s="40"/>
    </row>
    <row r="269" ht="12.75">
      <c r="L269" s="40"/>
    </row>
    <row r="270" ht="12.75">
      <c r="L270" s="40"/>
    </row>
    <row r="271" ht="12.75">
      <c r="L271" s="40"/>
    </row>
    <row r="272" ht="12.75">
      <c r="L272" s="40"/>
    </row>
    <row r="273" ht="12.75">
      <c r="L273" s="40"/>
    </row>
    <row r="274" ht="12.75">
      <c r="L274" s="40"/>
    </row>
    <row r="275" ht="12.75">
      <c r="L275" s="40"/>
    </row>
    <row r="276" ht="12.75">
      <c r="L276" s="40"/>
    </row>
    <row r="277" ht="12.75">
      <c r="L277" s="40"/>
    </row>
    <row r="278" ht="12.75">
      <c r="L278" s="40"/>
    </row>
    <row r="279" ht="12.75">
      <c r="L279" s="40"/>
    </row>
    <row r="280" ht="12.75">
      <c r="L280" s="40"/>
    </row>
    <row r="281" ht="12.75">
      <c r="L281" s="40"/>
    </row>
    <row r="282" ht="12.75">
      <c r="L282" s="40"/>
    </row>
    <row r="283" ht="12.75">
      <c r="L283" s="40"/>
    </row>
    <row r="284" ht="12.75">
      <c r="L284" s="40"/>
    </row>
    <row r="285" ht="12.75">
      <c r="L285" s="40"/>
    </row>
    <row r="286" ht="12.75">
      <c r="L286" s="40"/>
    </row>
    <row r="287" ht="12.75">
      <c r="L287" s="40"/>
    </row>
    <row r="288" ht="12.75">
      <c r="L288" s="40"/>
    </row>
    <row r="289" ht="12.75">
      <c r="L289" s="40"/>
    </row>
    <row r="290" ht="12.75">
      <c r="L290" s="40"/>
    </row>
    <row r="291" ht="12.75">
      <c r="L291" s="40"/>
    </row>
    <row r="292" ht="12.75">
      <c r="L292" s="40"/>
    </row>
    <row r="293" ht="12.75">
      <c r="L293" s="40"/>
    </row>
    <row r="294" ht="12.75">
      <c r="L294" s="40"/>
    </row>
    <row r="295" ht="12.75">
      <c r="L295" s="40"/>
    </row>
    <row r="296" ht="12.75">
      <c r="L296" s="40"/>
    </row>
    <row r="297" ht="12.75">
      <c r="L297" s="40"/>
    </row>
    <row r="298" ht="12.75">
      <c r="L298" s="40"/>
    </row>
    <row r="299" ht="12.75">
      <c r="L299" s="40"/>
    </row>
    <row r="300" ht="12.75">
      <c r="L300" s="40"/>
    </row>
    <row r="301" ht="12.75">
      <c r="L301" s="40"/>
    </row>
    <row r="302" ht="12.75">
      <c r="L302" s="40"/>
    </row>
    <row r="303" ht="12.75">
      <c r="L303" s="40"/>
    </row>
    <row r="304" ht="12.75">
      <c r="L304" s="40"/>
    </row>
    <row r="305" ht="12.75">
      <c r="L305" s="40"/>
    </row>
    <row r="306" ht="12.75">
      <c r="L306" s="40"/>
    </row>
    <row r="307" ht="12.75">
      <c r="L307" s="40"/>
    </row>
    <row r="308" ht="12.75">
      <c r="L308" s="40"/>
    </row>
    <row r="309" ht="12.75">
      <c r="L309" s="40"/>
    </row>
    <row r="310" ht="12.75">
      <c r="L310" s="40"/>
    </row>
    <row r="311" ht="12.75">
      <c r="L311" s="40"/>
    </row>
    <row r="312" ht="12.75">
      <c r="L312" s="40"/>
    </row>
    <row r="313" ht="12.75">
      <c r="L313" s="40"/>
    </row>
    <row r="314" ht="12.75">
      <c r="L314" s="40"/>
    </row>
    <row r="315" ht="12.75">
      <c r="L315" s="40"/>
    </row>
    <row r="316" ht="12.75">
      <c r="L316" s="40"/>
    </row>
    <row r="317" ht="12.75">
      <c r="L317" s="40"/>
    </row>
    <row r="318" ht="12.75">
      <c r="L318" s="40"/>
    </row>
    <row r="319" ht="12.75">
      <c r="L319" s="40"/>
    </row>
    <row r="320" ht="12.75">
      <c r="L320" s="40"/>
    </row>
    <row r="321" ht="12.75">
      <c r="L321" s="40"/>
    </row>
    <row r="322" ht="12.75">
      <c r="L322" s="40"/>
    </row>
    <row r="323" ht="12.75">
      <c r="L323" s="40"/>
    </row>
    <row r="324" ht="12.75">
      <c r="L324" s="40"/>
    </row>
    <row r="325" ht="12.75">
      <c r="L325" s="40"/>
    </row>
    <row r="326" ht="12.75">
      <c r="L326" s="40"/>
    </row>
    <row r="327" ht="12.75">
      <c r="L327" s="40"/>
    </row>
    <row r="328" ht="12.75">
      <c r="L328" s="40"/>
    </row>
    <row r="329" ht="12.75">
      <c r="L329" s="40"/>
    </row>
    <row r="330" ht="12.75">
      <c r="L330" s="40"/>
    </row>
    <row r="331" ht="12.75">
      <c r="L331" s="40"/>
    </row>
    <row r="332" ht="12.75">
      <c r="L332" s="40"/>
    </row>
    <row r="333" ht="12.75">
      <c r="L333" s="40"/>
    </row>
    <row r="334" ht="12.75">
      <c r="L334" s="40"/>
    </row>
    <row r="335" ht="12.75">
      <c r="L335" s="40"/>
    </row>
    <row r="336" ht="12.75">
      <c r="L336" s="40"/>
    </row>
    <row r="337" ht="12.75">
      <c r="L337" s="40"/>
    </row>
    <row r="338" ht="12.75">
      <c r="L338" s="40"/>
    </row>
    <row r="339" ht="12.75">
      <c r="L339" s="40"/>
    </row>
    <row r="340" ht="12.75">
      <c r="L340" s="40"/>
    </row>
    <row r="341" ht="12.75">
      <c r="L341" s="40"/>
    </row>
    <row r="342" ht="12.75">
      <c r="L342" s="40"/>
    </row>
    <row r="343" ht="12.75">
      <c r="L343" s="40"/>
    </row>
    <row r="344" ht="12.75">
      <c r="L344" s="40"/>
    </row>
    <row r="345" ht="12.75">
      <c r="L345" s="40"/>
    </row>
    <row r="346" ht="12.75">
      <c r="L346" s="40"/>
    </row>
    <row r="347" ht="12.75">
      <c r="L347" s="40"/>
    </row>
    <row r="348" ht="12.75">
      <c r="L348" s="40"/>
    </row>
    <row r="349" ht="12.75">
      <c r="L349" s="40"/>
    </row>
    <row r="350" ht="12.75">
      <c r="L350" s="40"/>
    </row>
    <row r="351" ht="12.75">
      <c r="L351" s="40"/>
    </row>
    <row r="352" ht="12.75">
      <c r="L352" s="40"/>
    </row>
    <row r="353" ht="12.75">
      <c r="L353" s="40"/>
    </row>
    <row r="354" ht="12.75">
      <c r="L354" s="40"/>
    </row>
    <row r="355" ht="12.75">
      <c r="L355" s="40"/>
    </row>
    <row r="356" ht="12.75">
      <c r="L356" s="40"/>
    </row>
    <row r="357" ht="12.75">
      <c r="L357" s="40"/>
    </row>
    <row r="358" ht="12.75">
      <c r="L358" s="40"/>
    </row>
    <row r="359" ht="12.75">
      <c r="L359" s="40"/>
    </row>
    <row r="360" ht="12.75">
      <c r="L360" s="40"/>
    </row>
    <row r="361" ht="12.75">
      <c r="L361" s="40"/>
    </row>
    <row r="362" ht="12.75">
      <c r="L362" s="40"/>
    </row>
    <row r="363" ht="12.75">
      <c r="L363" s="40"/>
    </row>
    <row r="364" ht="12.75">
      <c r="L364" s="40"/>
    </row>
    <row r="365" ht="12.75">
      <c r="L365" s="40"/>
    </row>
    <row r="366" ht="12.75">
      <c r="L366" s="40"/>
    </row>
    <row r="367" ht="12.75">
      <c r="L367" s="40"/>
    </row>
    <row r="368" ht="12.75">
      <c r="L368" s="40"/>
    </row>
    <row r="369" ht="12.75">
      <c r="L369" s="40"/>
    </row>
    <row r="370" ht="12.75">
      <c r="L370" s="40"/>
    </row>
    <row r="371" ht="12.75">
      <c r="L371" s="40"/>
    </row>
    <row r="372" ht="12.75">
      <c r="L372" s="40"/>
    </row>
    <row r="373" ht="12.75">
      <c r="L373" s="40"/>
    </row>
    <row r="374" ht="12.75">
      <c r="L374" s="40"/>
    </row>
    <row r="375" ht="12.75">
      <c r="L375" s="40"/>
    </row>
    <row r="376" ht="12.75">
      <c r="L376" s="40"/>
    </row>
    <row r="377" ht="12.75">
      <c r="L377" s="40"/>
    </row>
    <row r="378" ht="12.75">
      <c r="L378" s="40"/>
    </row>
    <row r="379" ht="12.75">
      <c r="L379" s="40"/>
    </row>
    <row r="380" ht="12.75">
      <c r="L380" s="40"/>
    </row>
    <row r="381" ht="12.75">
      <c r="L381" s="40"/>
    </row>
    <row r="382" ht="12.75">
      <c r="L382" s="40"/>
    </row>
    <row r="383" ht="12.75">
      <c r="L383" s="40"/>
    </row>
    <row r="384" ht="12.75">
      <c r="L384" s="40"/>
    </row>
    <row r="385" ht="12.75">
      <c r="L385" s="40"/>
    </row>
    <row r="386" ht="12.75">
      <c r="L386" s="40"/>
    </row>
    <row r="387" ht="12.75">
      <c r="L387" s="40"/>
    </row>
    <row r="388" ht="12.75">
      <c r="L388" s="40"/>
    </row>
    <row r="389" ht="12.75">
      <c r="L389" s="40"/>
    </row>
    <row r="390" ht="12.75">
      <c r="L390" s="40"/>
    </row>
    <row r="391" ht="12.75">
      <c r="L391" s="40"/>
    </row>
    <row r="392" ht="12.75">
      <c r="L392" s="40"/>
    </row>
    <row r="393" ht="12.75">
      <c r="L393" s="40"/>
    </row>
    <row r="394" ht="12.75">
      <c r="L394" s="40"/>
    </row>
    <row r="395" ht="12.75">
      <c r="L395" s="40"/>
    </row>
    <row r="396" ht="12.75">
      <c r="L396" s="40"/>
    </row>
    <row r="397" ht="12.75">
      <c r="L397" s="40"/>
    </row>
    <row r="398" ht="12.75">
      <c r="L398" s="40"/>
    </row>
    <row r="399" ht="12.75">
      <c r="L399" s="40"/>
    </row>
    <row r="400" ht="12.75">
      <c r="L400" s="40"/>
    </row>
    <row r="401" ht="12.75">
      <c r="L401" s="40"/>
    </row>
    <row r="402" ht="12.75">
      <c r="L402" s="40"/>
    </row>
    <row r="403" ht="12.75">
      <c r="L403" s="40"/>
    </row>
    <row r="404" ht="12.75">
      <c r="L404" s="40"/>
    </row>
    <row r="405" ht="12.75">
      <c r="L405" s="40"/>
    </row>
    <row r="406" ht="12.75">
      <c r="L406" s="40"/>
    </row>
    <row r="407" ht="12.75">
      <c r="L407" s="40"/>
    </row>
    <row r="408" ht="12.75">
      <c r="L408" s="40"/>
    </row>
    <row r="409" ht="12.75">
      <c r="L409" s="40"/>
    </row>
    <row r="410" ht="12.75">
      <c r="L410" s="40"/>
    </row>
    <row r="411" ht="12.75">
      <c r="L411" s="40"/>
    </row>
    <row r="412" ht="12.75">
      <c r="L412" s="40"/>
    </row>
    <row r="413" ht="12.75">
      <c r="L413" s="40"/>
    </row>
    <row r="414" ht="12.75">
      <c r="L414" s="40"/>
    </row>
    <row r="415" ht="12.75">
      <c r="L415" s="40"/>
    </row>
    <row r="416" ht="12.75">
      <c r="L416" s="40"/>
    </row>
    <row r="417" ht="12.75">
      <c r="L417" s="40"/>
    </row>
    <row r="418" ht="12.75">
      <c r="L418" s="40"/>
    </row>
    <row r="419" ht="12.75">
      <c r="L419" s="40"/>
    </row>
    <row r="420" ht="12.75">
      <c r="L420" s="40"/>
    </row>
    <row r="421" ht="12.75">
      <c r="L421" s="40"/>
    </row>
    <row r="422" ht="12.75">
      <c r="L422" s="40"/>
    </row>
    <row r="423" ht="12.75">
      <c r="L423" s="40"/>
    </row>
    <row r="424" ht="12.75">
      <c r="L424" s="40"/>
    </row>
    <row r="425" ht="12.75">
      <c r="L425" s="40"/>
    </row>
    <row r="426" ht="12.75">
      <c r="L426" s="40"/>
    </row>
    <row r="427" ht="12.75">
      <c r="L427" s="40"/>
    </row>
    <row r="428" ht="12.75">
      <c r="L428" s="40"/>
    </row>
    <row r="429" ht="12.75">
      <c r="L429" s="40"/>
    </row>
    <row r="430" ht="12.75">
      <c r="L430" s="40"/>
    </row>
    <row r="431" ht="12.75">
      <c r="L431" s="40"/>
    </row>
    <row r="432" ht="12.75">
      <c r="L432" s="40"/>
    </row>
    <row r="433" ht="12.75">
      <c r="L433" s="40"/>
    </row>
    <row r="434" ht="12.75">
      <c r="L434" s="40"/>
    </row>
    <row r="435" ht="12.75">
      <c r="L435" s="40"/>
    </row>
    <row r="436" ht="12.75">
      <c r="L436" s="40"/>
    </row>
    <row r="437" ht="12.75">
      <c r="L437" s="40"/>
    </row>
    <row r="438" ht="12.75">
      <c r="L438" s="40"/>
    </row>
    <row r="439" ht="12.75">
      <c r="L439" s="40"/>
    </row>
    <row r="440" ht="12.75">
      <c r="L440" s="40"/>
    </row>
    <row r="441" ht="12.75">
      <c r="L441" s="40"/>
    </row>
    <row r="442" ht="12.75">
      <c r="L442" s="40"/>
    </row>
    <row r="443" ht="12.75">
      <c r="L443" s="40"/>
    </row>
    <row r="444" ht="12.75">
      <c r="L444" s="40"/>
    </row>
    <row r="445" ht="12.75">
      <c r="L445" s="40"/>
    </row>
    <row r="446" ht="12.75">
      <c r="L446" s="40"/>
    </row>
    <row r="447" ht="12.75">
      <c r="L447" s="40"/>
    </row>
    <row r="448" ht="12.75">
      <c r="L448" s="40"/>
    </row>
    <row r="449" ht="12.75">
      <c r="L449" s="40"/>
    </row>
    <row r="450" ht="12.75">
      <c r="L450" s="40"/>
    </row>
    <row r="451" ht="12.75">
      <c r="L451" s="40"/>
    </row>
    <row r="452" ht="12.75">
      <c r="L452" s="40"/>
    </row>
    <row r="453" ht="12.75">
      <c r="L453" s="40"/>
    </row>
    <row r="454" ht="12.75">
      <c r="L454" s="40"/>
    </row>
    <row r="455" ht="12.75">
      <c r="L455" s="40"/>
    </row>
    <row r="456" ht="12.75">
      <c r="L456" s="40"/>
    </row>
    <row r="457" ht="12.75">
      <c r="L457" s="40"/>
    </row>
    <row r="458" ht="12.75">
      <c r="L458" s="40"/>
    </row>
    <row r="459" ht="12.75">
      <c r="L459" s="40"/>
    </row>
    <row r="460" ht="12.75">
      <c r="L460" s="40"/>
    </row>
    <row r="461" ht="12.75">
      <c r="L461" s="40"/>
    </row>
    <row r="462" ht="12.75">
      <c r="L462" s="40"/>
    </row>
    <row r="463" ht="12.75">
      <c r="L463" s="40"/>
    </row>
    <row r="464" ht="12.75">
      <c r="L464" s="40"/>
    </row>
    <row r="465" ht="12.75">
      <c r="L465" s="40"/>
    </row>
    <row r="466" ht="12.75">
      <c r="L466" s="40"/>
    </row>
    <row r="467" ht="12.75">
      <c r="L467" s="40"/>
    </row>
    <row r="468" ht="12.75">
      <c r="L468" s="40"/>
    </row>
    <row r="469" ht="12.75">
      <c r="L469" s="40"/>
    </row>
    <row r="470" ht="12.75">
      <c r="L470" s="40"/>
    </row>
    <row r="471" ht="12.75">
      <c r="L471" s="40"/>
    </row>
    <row r="472" ht="12.75">
      <c r="L472" s="40"/>
    </row>
    <row r="473" ht="12.75">
      <c r="L473" s="40"/>
    </row>
    <row r="474" ht="12.75">
      <c r="L474" s="40"/>
    </row>
    <row r="475" ht="12.75">
      <c r="L475" s="40"/>
    </row>
    <row r="476" ht="12.75">
      <c r="L476" s="40"/>
    </row>
    <row r="477" ht="12.75">
      <c r="L477" s="40"/>
    </row>
    <row r="478" ht="12.75">
      <c r="L478" s="40"/>
    </row>
    <row r="479" ht="12.75">
      <c r="L479" s="40"/>
    </row>
    <row r="480" ht="12.75">
      <c r="L480" s="40"/>
    </row>
    <row r="481" ht="12.75">
      <c r="L481" s="40"/>
    </row>
    <row r="482" ht="12.75">
      <c r="L482" s="40"/>
    </row>
    <row r="483" ht="12.75">
      <c r="L483" s="40"/>
    </row>
    <row r="484" ht="12.75">
      <c r="L484" s="40"/>
    </row>
    <row r="485" ht="12.75">
      <c r="L485" s="40"/>
    </row>
    <row r="486" ht="12.75">
      <c r="L486" s="40"/>
    </row>
    <row r="487" ht="12.75">
      <c r="L487" s="40"/>
    </row>
    <row r="488" ht="12.75">
      <c r="L488" s="40"/>
    </row>
    <row r="489" ht="12.75">
      <c r="L489" s="40"/>
    </row>
    <row r="490" ht="12.75">
      <c r="L490" s="40"/>
    </row>
    <row r="491" ht="12.75">
      <c r="L491" s="40"/>
    </row>
    <row r="492" ht="12.75">
      <c r="L492" s="40"/>
    </row>
    <row r="493" ht="12.75">
      <c r="L493" s="40"/>
    </row>
    <row r="494" ht="12.75">
      <c r="L494" s="40"/>
    </row>
    <row r="495" ht="12.75">
      <c r="L495" s="40"/>
    </row>
    <row r="496" ht="12.75">
      <c r="L496" s="40"/>
    </row>
    <row r="497" ht="12.75">
      <c r="L497" s="40"/>
    </row>
    <row r="498" ht="12.75">
      <c r="L498" s="40"/>
    </row>
    <row r="499" ht="12.75">
      <c r="L499" s="40"/>
    </row>
    <row r="500" ht="12.75">
      <c r="L500" s="40"/>
    </row>
    <row r="501" ht="12.75">
      <c r="L501" s="40"/>
    </row>
    <row r="502" ht="12.75">
      <c r="L502" s="40"/>
    </row>
    <row r="503" ht="12.75">
      <c r="L503" s="40"/>
    </row>
    <row r="504" ht="12.75">
      <c r="L504" s="40"/>
    </row>
    <row r="505" ht="12.75">
      <c r="L505" s="40"/>
    </row>
    <row r="506" ht="12.75">
      <c r="L506" s="40"/>
    </row>
    <row r="507" ht="12.75">
      <c r="L507" s="40"/>
    </row>
    <row r="508" ht="12.75">
      <c r="L508" s="40"/>
    </row>
    <row r="509" ht="12.75">
      <c r="L509" s="40"/>
    </row>
    <row r="510" ht="12.75">
      <c r="L510" s="40"/>
    </row>
  </sheetData>
  <sheetProtection/>
  <mergeCells count="2">
    <mergeCell ref="T3:Z3"/>
    <mergeCell ref="D3:J3"/>
  </mergeCells>
  <printOptions horizontalCentered="1" verticalCentered="1"/>
  <pageMargins left="0.35433070866141736" right="1.299212598425197" top="0.6692913385826772" bottom="0.984251968503937" header="0.5118110236220472" footer="0.5118110236220472"/>
  <pageSetup fitToHeight="2" horizontalDpi="600" verticalDpi="600" orientation="landscape" paperSize="9" scale="45" r:id="rId1"/>
  <rowBreaks count="1" manualBreakCount="1">
    <brk id="76" max="65" man="1"/>
  </rowBreaks>
  <colBreaks count="2" manualBreakCount="2">
    <brk id="10" max="131" man="1"/>
    <brk id="34" max="131" man="1"/>
  </colBreaks>
</worksheet>
</file>

<file path=xl/worksheets/sheet6.xml><?xml version="1.0" encoding="utf-8"?>
<worksheet xmlns="http://schemas.openxmlformats.org/spreadsheetml/2006/main" xmlns:r="http://schemas.openxmlformats.org/officeDocument/2006/relationships">
  <dimension ref="A2:L39"/>
  <sheetViews>
    <sheetView zoomScalePageLayoutView="0" workbookViewId="0" topLeftCell="F1">
      <selection activeCell="U23" sqref="U23"/>
    </sheetView>
  </sheetViews>
  <sheetFormatPr defaultColWidth="9.140625" defaultRowHeight="12.75"/>
  <cols>
    <col min="1" max="1" width="5.421875" style="392" customWidth="1"/>
    <col min="2" max="2" width="22.7109375" style="392" customWidth="1"/>
    <col min="3" max="3" width="14.57421875" style="392" customWidth="1"/>
    <col min="4" max="4" width="23.140625" style="392" customWidth="1"/>
    <col min="5" max="7" width="11.8515625" style="392" customWidth="1"/>
    <col min="8" max="8" width="16.421875" style="392" customWidth="1"/>
    <col min="9" max="9" width="12.8515625" style="393" customWidth="1"/>
    <col min="10" max="10" width="9.421875" style="393" customWidth="1"/>
    <col min="11" max="11" width="14.8515625" style="394" customWidth="1"/>
    <col min="12" max="12" width="14.28125" style="394" customWidth="1"/>
    <col min="13" max="16384" width="9.140625" style="392" customWidth="1"/>
  </cols>
  <sheetData>
    <row r="1" ht="15"/>
    <row r="2" spans="1:12" s="390" customFormat="1" ht="15.75">
      <c r="A2" s="389" t="s">
        <v>595</v>
      </c>
      <c r="F2" s="391"/>
      <c r="I2" s="391"/>
      <c r="J2" s="391"/>
      <c r="K2" s="391"/>
      <c r="L2" s="391"/>
    </row>
    <row r="3" spans="6:12" ht="15">
      <c r="F3" s="393"/>
      <c r="K3" s="393"/>
      <c r="L3" s="393"/>
    </row>
    <row r="4" ht="15.75" thickBot="1">
      <c r="I4" s="394"/>
    </row>
    <row r="5" spans="1:12" s="395" customFormat="1" ht="75.75" thickBot="1">
      <c r="A5" s="666" t="s">
        <v>354</v>
      </c>
      <c r="B5" s="721" t="s">
        <v>4</v>
      </c>
      <c r="C5" s="723" t="s">
        <v>43</v>
      </c>
      <c r="D5" s="723" t="s">
        <v>5</v>
      </c>
      <c r="E5" s="723" t="s">
        <v>44</v>
      </c>
      <c r="F5" s="723" t="s">
        <v>19</v>
      </c>
      <c r="G5" s="723" t="s">
        <v>45</v>
      </c>
      <c r="H5" s="723" t="s">
        <v>46</v>
      </c>
      <c r="I5" s="723" t="s">
        <v>295</v>
      </c>
      <c r="J5" s="671" t="s">
        <v>296</v>
      </c>
      <c r="K5" s="722" t="s">
        <v>297</v>
      </c>
      <c r="L5" s="667" t="s">
        <v>298</v>
      </c>
    </row>
    <row r="6" spans="1:12" ht="15">
      <c r="A6" s="396"/>
      <c r="B6" s="736"/>
      <c r="C6" s="737"/>
      <c r="D6" s="738"/>
      <c r="E6" s="737"/>
      <c r="F6" s="737"/>
      <c r="G6" s="737"/>
      <c r="H6" s="737"/>
      <c r="I6" s="738"/>
      <c r="J6" s="739"/>
      <c r="K6" s="420"/>
      <c r="L6" s="398"/>
    </row>
    <row r="7" spans="1:12" ht="15">
      <c r="A7" s="399">
        <v>1</v>
      </c>
      <c r="B7" s="392" t="s">
        <v>10</v>
      </c>
      <c r="C7" s="400" t="s">
        <v>52</v>
      </c>
      <c r="D7" s="400">
        <v>1998</v>
      </c>
      <c r="E7" s="401" t="s">
        <v>56</v>
      </c>
      <c r="F7" s="400" t="s">
        <v>182</v>
      </c>
      <c r="G7" s="400" t="s">
        <v>49</v>
      </c>
      <c r="H7" s="400" t="s">
        <v>50</v>
      </c>
      <c r="I7" s="402">
        <v>49.92</v>
      </c>
      <c r="J7" s="403">
        <v>65</v>
      </c>
      <c r="K7" s="404">
        <v>49.92</v>
      </c>
      <c r="L7" s="405" t="s">
        <v>299</v>
      </c>
    </row>
    <row r="8" spans="1:12" ht="15">
      <c r="A8" s="399"/>
      <c r="B8" s="407" t="s">
        <v>235</v>
      </c>
      <c r="C8" s="408"/>
      <c r="D8" s="408"/>
      <c r="E8" s="409"/>
      <c r="F8" s="408"/>
      <c r="G8" s="408"/>
      <c r="H8" s="408"/>
      <c r="I8" s="410">
        <v>49.92</v>
      </c>
      <c r="J8" s="411"/>
      <c r="K8" s="412">
        <v>49.92</v>
      </c>
      <c r="L8" s="413"/>
    </row>
    <row r="9" spans="1:12" ht="15">
      <c r="A9" s="399"/>
      <c r="B9" s="414"/>
      <c r="C9" s="415"/>
      <c r="D9" s="415"/>
      <c r="E9" s="416"/>
      <c r="F9" s="415"/>
      <c r="G9" s="415"/>
      <c r="H9" s="415"/>
      <c r="I9" s="417"/>
      <c r="J9" s="417"/>
      <c r="K9" s="404"/>
      <c r="L9" s="413"/>
    </row>
    <row r="10" spans="1:12" ht="15">
      <c r="A10" s="399">
        <v>1</v>
      </c>
      <c r="B10" s="392" t="s">
        <v>9</v>
      </c>
      <c r="C10" s="400" t="s">
        <v>54</v>
      </c>
      <c r="D10" s="400">
        <v>1996</v>
      </c>
      <c r="E10" s="401" t="s">
        <v>48</v>
      </c>
      <c r="F10" s="400" t="s">
        <v>24</v>
      </c>
      <c r="G10" s="400" t="s">
        <v>49</v>
      </c>
      <c r="H10" s="400" t="s">
        <v>50</v>
      </c>
      <c r="I10" s="402">
        <v>132.479</v>
      </c>
      <c r="J10" s="403">
        <v>100</v>
      </c>
      <c r="K10" s="404">
        <v>132.479</v>
      </c>
      <c r="L10" s="405" t="s">
        <v>299</v>
      </c>
    </row>
    <row r="11" spans="1:12" ht="15">
      <c r="A11" s="399">
        <v>1</v>
      </c>
      <c r="B11" s="392" t="s">
        <v>3</v>
      </c>
      <c r="C11" s="400" t="s">
        <v>51</v>
      </c>
      <c r="D11" s="400">
        <v>1996</v>
      </c>
      <c r="E11" s="401" t="s">
        <v>48</v>
      </c>
      <c r="F11" s="400" t="s">
        <v>24</v>
      </c>
      <c r="G11" s="400" t="s">
        <v>49</v>
      </c>
      <c r="H11" s="400" t="s">
        <v>50</v>
      </c>
      <c r="I11" s="402">
        <v>136.77</v>
      </c>
      <c r="J11" s="403">
        <v>100</v>
      </c>
      <c r="K11" s="404">
        <v>136.77</v>
      </c>
      <c r="L11" s="405" t="s">
        <v>299</v>
      </c>
    </row>
    <row r="12" spans="1:12" ht="15">
      <c r="A12" s="399">
        <v>1</v>
      </c>
      <c r="B12" s="392" t="s">
        <v>11</v>
      </c>
      <c r="C12" s="400" t="s">
        <v>58</v>
      </c>
      <c r="D12" s="400">
        <v>2002</v>
      </c>
      <c r="E12" s="401" t="s">
        <v>59</v>
      </c>
      <c r="F12" s="400" t="s">
        <v>24</v>
      </c>
      <c r="G12" s="400" t="s">
        <v>49</v>
      </c>
      <c r="H12" s="400" t="s">
        <v>50</v>
      </c>
      <c r="I12" s="402">
        <v>145.04</v>
      </c>
      <c r="J12" s="403">
        <v>70</v>
      </c>
      <c r="K12" s="404">
        <v>145.04</v>
      </c>
      <c r="L12" s="405" t="s">
        <v>299</v>
      </c>
    </row>
    <row r="13" spans="1:12" ht="15">
      <c r="A13" s="399">
        <v>1</v>
      </c>
      <c r="B13" s="392" t="s">
        <v>8</v>
      </c>
      <c r="C13" s="400" t="s">
        <v>53</v>
      </c>
      <c r="D13" s="400">
        <v>1995</v>
      </c>
      <c r="E13" s="401" t="s">
        <v>48</v>
      </c>
      <c r="F13" s="400" t="s">
        <v>24</v>
      </c>
      <c r="G13" s="400" t="s">
        <v>49</v>
      </c>
      <c r="H13" s="400" t="s">
        <v>300</v>
      </c>
      <c r="I13" s="402">
        <v>118.096</v>
      </c>
      <c r="J13" s="403">
        <v>100</v>
      </c>
      <c r="K13" s="404">
        <v>118.096</v>
      </c>
      <c r="L13" s="405" t="s">
        <v>299</v>
      </c>
    </row>
    <row r="14" spans="1:12" ht="15">
      <c r="A14" s="399">
        <v>1</v>
      </c>
      <c r="B14" s="392" t="s">
        <v>7</v>
      </c>
      <c r="C14" s="400" t="s">
        <v>52</v>
      </c>
      <c r="D14" s="400">
        <v>1994</v>
      </c>
      <c r="E14" s="401" t="s">
        <v>48</v>
      </c>
      <c r="F14" s="400" t="s">
        <v>24</v>
      </c>
      <c r="G14" s="400" t="s">
        <v>49</v>
      </c>
      <c r="H14" s="400" t="s">
        <v>50</v>
      </c>
      <c r="I14" s="402">
        <v>51.0024</v>
      </c>
      <c r="J14" s="403">
        <v>100</v>
      </c>
      <c r="K14" s="404">
        <v>51.0024</v>
      </c>
      <c r="L14" s="405" t="s">
        <v>299</v>
      </c>
    </row>
    <row r="15" spans="1:12" ht="15">
      <c r="A15" s="399">
        <v>1</v>
      </c>
      <c r="B15" s="392" t="s">
        <v>6</v>
      </c>
      <c r="C15" s="400" t="s">
        <v>47</v>
      </c>
      <c r="D15" s="400">
        <v>1993</v>
      </c>
      <c r="E15" s="401" t="s">
        <v>48</v>
      </c>
      <c r="F15" s="400" t="s">
        <v>24</v>
      </c>
      <c r="G15" s="400" t="s">
        <v>49</v>
      </c>
      <c r="H15" s="400" t="s">
        <v>300</v>
      </c>
      <c r="I15" s="402">
        <v>229.68</v>
      </c>
      <c r="J15" s="403">
        <v>100</v>
      </c>
      <c r="K15" s="404">
        <v>229.68</v>
      </c>
      <c r="L15" s="405" t="s">
        <v>299</v>
      </c>
    </row>
    <row r="16" spans="1:12" ht="15">
      <c r="A16" s="399">
        <v>1</v>
      </c>
      <c r="B16" s="392" t="s">
        <v>181</v>
      </c>
      <c r="C16" s="400" t="s">
        <v>47</v>
      </c>
      <c r="D16" s="400" t="s">
        <v>183</v>
      </c>
      <c r="E16" s="401" t="s">
        <v>48</v>
      </c>
      <c r="F16" s="400" t="s">
        <v>24</v>
      </c>
      <c r="G16" s="400" t="s">
        <v>49</v>
      </c>
      <c r="H16" s="400" t="s">
        <v>300</v>
      </c>
      <c r="I16" s="402">
        <v>719.312</v>
      </c>
      <c r="J16" s="403">
        <v>100</v>
      </c>
      <c r="K16" s="404">
        <v>719.312</v>
      </c>
      <c r="L16" s="405" t="s">
        <v>299</v>
      </c>
    </row>
    <row r="17" spans="1:12" ht="15">
      <c r="A17" s="399">
        <v>1</v>
      </c>
      <c r="B17" s="392" t="s">
        <v>60</v>
      </c>
      <c r="C17" s="400" t="s">
        <v>61</v>
      </c>
      <c r="D17" s="400">
        <v>1998</v>
      </c>
      <c r="E17" s="401" t="s">
        <v>48</v>
      </c>
      <c r="F17" s="400" t="s">
        <v>24</v>
      </c>
      <c r="G17" s="400" t="s">
        <v>49</v>
      </c>
      <c r="H17" s="400" t="s">
        <v>50</v>
      </c>
      <c r="I17" s="402">
        <v>169.92</v>
      </c>
      <c r="J17" s="403">
        <v>100</v>
      </c>
      <c r="K17" s="404">
        <v>169.92</v>
      </c>
      <c r="L17" s="405" t="s">
        <v>299</v>
      </c>
    </row>
    <row r="18" spans="1:12" ht="15">
      <c r="A18" s="399">
        <v>1</v>
      </c>
      <c r="B18" s="392" t="s">
        <v>62</v>
      </c>
      <c r="C18" s="400" t="s">
        <v>55</v>
      </c>
      <c r="D18" s="400">
        <v>2001</v>
      </c>
      <c r="E18" s="401" t="s">
        <v>48</v>
      </c>
      <c r="F18" s="400" t="s">
        <v>24</v>
      </c>
      <c r="G18" s="400" t="s">
        <v>49</v>
      </c>
      <c r="H18" s="400" t="s">
        <v>50</v>
      </c>
      <c r="I18" s="402">
        <v>97.028</v>
      </c>
      <c r="J18" s="403">
        <v>100</v>
      </c>
      <c r="K18" s="404">
        <v>97.028</v>
      </c>
      <c r="L18" s="405" t="s">
        <v>299</v>
      </c>
    </row>
    <row r="19" spans="1:12" ht="15">
      <c r="A19" s="399">
        <v>1</v>
      </c>
      <c r="B19" s="392" t="s">
        <v>184</v>
      </c>
      <c r="C19" s="400" t="s">
        <v>52</v>
      </c>
      <c r="D19" s="400">
        <v>2004</v>
      </c>
      <c r="E19" s="401" t="s">
        <v>48</v>
      </c>
      <c r="F19" s="400" t="s">
        <v>24</v>
      </c>
      <c r="G19" s="400" t="s">
        <v>49</v>
      </c>
      <c r="H19" s="400" t="s">
        <v>50</v>
      </c>
      <c r="I19" s="402">
        <v>52.8915</v>
      </c>
      <c r="J19" s="403">
        <v>100</v>
      </c>
      <c r="K19" s="404">
        <v>52.8915</v>
      </c>
      <c r="L19" s="405" t="s">
        <v>299</v>
      </c>
    </row>
    <row r="20" spans="1:12" ht="15">
      <c r="A20" s="399">
        <v>1</v>
      </c>
      <c r="B20" s="392" t="s">
        <v>2</v>
      </c>
      <c r="C20" s="400" t="s">
        <v>64</v>
      </c>
      <c r="D20" s="400">
        <v>2005</v>
      </c>
      <c r="E20" s="401" t="s">
        <v>48</v>
      </c>
      <c r="F20" s="400" t="s">
        <v>24</v>
      </c>
      <c r="G20" s="400" t="s">
        <v>49</v>
      </c>
      <c r="H20" s="400" t="s">
        <v>50</v>
      </c>
      <c r="I20" s="402">
        <v>369.08784</v>
      </c>
      <c r="J20" s="403">
        <v>100</v>
      </c>
      <c r="K20" s="404">
        <v>369.08784</v>
      </c>
      <c r="L20" s="405" t="s">
        <v>299</v>
      </c>
    </row>
    <row r="21" spans="1:12" ht="15">
      <c r="A21" s="399">
        <v>1</v>
      </c>
      <c r="B21" s="392" t="s">
        <v>174</v>
      </c>
      <c r="C21" s="400" t="s">
        <v>143</v>
      </c>
      <c r="D21" s="400">
        <v>2006</v>
      </c>
      <c r="E21" s="401" t="s">
        <v>48</v>
      </c>
      <c r="F21" s="400" t="s">
        <v>24</v>
      </c>
      <c r="G21" s="400" t="s">
        <v>49</v>
      </c>
      <c r="H21" s="400" t="s">
        <v>50</v>
      </c>
      <c r="I21" s="402">
        <v>764.596</v>
      </c>
      <c r="J21" s="403">
        <v>100</v>
      </c>
      <c r="K21" s="404">
        <v>764.596</v>
      </c>
      <c r="L21" s="405" t="s">
        <v>299</v>
      </c>
    </row>
    <row r="22" spans="1:12" ht="15">
      <c r="A22" s="399">
        <v>1</v>
      </c>
      <c r="B22" s="392" t="s">
        <v>185</v>
      </c>
      <c r="C22" s="400" t="s">
        <v>144</v>
      </c>
      <c r="D22" s="400">
        <v>2006</v>
      </c>
      <c r="E22" s="401" t="s">
        <v>48</v>
      </c>
      <c r="F22" s="400" t="s">
        <v>24</v>
      </c>
      <c r="G22" s="400" t="s">
        <v>49</v>
      </c>
      <c r="H22" s="400" t="s">
        <v>50</v>
      </c>
      <c r="I22" s="402">
        <v>766.90887</v>
      </c>
      <c r="J22" s="403">
        <v>100</v>
      </c>
      <c r="K22" s="404">
        <v>766.90887</v>
      </c>
      <c r="L22" s="405" t="s">
        <v>299</v>
      </c>
    </row>
    <row r="23" spans="1:12" ht="15">
      <c r="A23" s="399">
        <v>1</v>
      </c>
      <c r="B23" s="392" t="s">
        <v>160</v>
      </c>
      <c r="C23" s="400" t="s">
        <v>161</v>
      </c>
      <c r="D23" s="400">
        <v>2007</v>
      </c>
      <c r="E23" s="401" t="s">
        <v>48</v>
      </c>
      <c r="F23" s="400" t="s">
        <v>24</v>
      </c>
      <c r="G23" s="400" t="s">
        <v>49</v>
      </c>
      <c r="H23" s="400" t="s">
        <v>50</v>
      </c>
      <c r="I23" s="402">
        <v>818.2754</v>
      </c>
      <c r="J23" s="403">
        <v>100</v>
      </c>
      <c r="K23" s="404">
        <v>818.2754</v>
      </c>
      <c r="L23" s="405" t="s">
        <v>299</v>
      </c>
    </row>
    <row r="24" spans="1:12" ht="15">
      <c r="A24" s="406"/>
      <c r="C24" s="418"/>
      <c r="D24" s="419"/>
      <c r="E24" s="418"/>
      <c r="F24" s="418"/>
      <c r="G24" s="418"/>
      <c r="H24" s="418"/>
      <c r="I24" s="419"/>
      <c r="J24" s="419"/>
      <c r="K24" s="420"/>
      <c r="L24" s="421"/>
    </row>
    <row r="25" spans="1:12" ht="15">
      <c r="A25" s="406"/>
      <c r="B25" s="407" t="s">
        <v>41</v>
      </c>
      <c r="C25" s="422"/>
      <c r="D25" s="423"/>
      <c r="E25" s="422"/>
      <c r="F25" s="422"/>
      <c r="G25" s="422"/>
      <c r="H25" s="422"/>
      <c r="I25" s="424">
        <v>4571.087009999999</v>
      </c>
      <c r="J25" s="423"/>
      <c r="K25" s="425">
        <v>4571.087009999999</v>
      </c>
      <c r="L25" s="413"/>
    </row>
    <row r="26" spans="1:12" ht="15.75" thickBot="1">
      <c r="A26" s="406"/>
      <c r="D26" s="393"/>
      <c r="K26" s="426"/>
      <c r="L26" s="413"/>
    </row>
    <row r="27" spans="1:12" ht="22.5" thickBot="1" thickTop="1">
      <c r="A27" s="427">
        <v>15</v>
      </c>
      <c r="B27" s="428" t="s">
        <v>263</v>
      </c>
      <c r="C27" s="429"/>
      <c r="D27" s="430"/>
      <c r="E27" s="429"/>
      <c r="F27" s="429"/>
      <c r="G27" s="429"/>
      <c r="H27" s="429"/>
      <c r="I27" s="431">
        <v>4621.007009999999</v>
      </c>
      <c r="J27" s="430"/>
      <c r="K27" s="432">
        <v>4621.007009999999</v>
      </c>
      <c r="L27" s="433"/>
    </row>
    <row r="28" spans="4:12" ht="15.75" thickTop="1">
      <c r="D28" s="393"/>
      <c r="K28" s="434"/>
      <c r="L28" s="434"/>
    </row>
    <row r="29" spans="4:12" ht="15.75" thickBot="1">
      <c r="D29" s="393"/>
      <c r="K29" s="434"/>
      <c r="L29" s="434"/>
    </row>
    <row r="30" spans="1:12" ht="15.75" thickBot="1">
      <c r="A30" s="666"/>
      <c r="B30" s="668" t="s">
        <v>264</v>
      </c>
      <c r="C30" s="734"/>
      <c r="D30" s="735"/>
      <c r="E30" s="435"/>
      <c r="F30" s="436"/>
      <c r="G30" s="436"/>
      <c r="H30" s="436"/>
      <c r="I30" s="437"/>
      <c r="J30" s="437"/>
      <c r="K30" s="438"/>
      <c r="L30" s="398"/>
    </row>
    <row r="31" spans="1:12" ht="15">
      <c r="A31" s="396"/>
      <c r="B31" s="439"/>
      <c r="C31" s="401"/>
      <c r="D31" s="400"/>
      <c r="F31" s="401"/>
      <c r="G31" s="401"/>
      <c r="H31" s="401"/>
      <c r="I31" s="400"/>
      <c r="J31" s="400"/>
      <c r="K31" s="426"/>
      <c r="L31" s="413"/>
    </row>
    <row r="32" spans="1:12" ht="15">
      <c r="A32" s="399">
        <v>1</v>
      </c>
      <c r="B32" s="439" t="s">
        <v>254</v>
      </c>
      <c r="C32" s="401" t="s">
        <v>301</v>
      </c>
      <c r="D32" s="400">
        <v>2005</v>
      </c>
      <c r="E32" s="392" t="s">
        <v>186</v>
      </c>
      <c r="F32" s="400" t="s">
        <v>24</v>
      </c>
      <c r="G32" s="401"/>
      <c r="H32" s="400" t="s">
        <v>50</v>
      </c>
      <c r="I32" s="440">
        <v>389.4</v>
      </c>
      <c r="J32" s="403">
        <v>37.89</v>
      </c>
      <c r="K32" s="441">
        <v>147.54366</v>
      </c>
      <c r="L32" s="442" t="s">
        <v>302</v>
      </c>
    </row>
    <row r="33" spans="1:12" ht="15">
      <c r="A33" s="399">
        <v>1</v>
      </c>
      <c r="B33" s="439" t="s">
        <v>221</v>
      </c>
      <c r="C33" s="401" t="s">
        <v>222</v>
      </c>
      <c r="D33" s="400">
        <v>2010</v>
      </c>
      <c r="E33" s="392" t="s">
        <v>186</v>
      </c>
      <c r="F33" s="400" t="s">
        <v>24</v>
      </c>
      <c r="G33" s="401"/>
      <c r="H33" s="400" t="s">
        <v>50</v>
      </c>
      <c r="I33" s="440">
        <v>410</v>
      </c>
      <c r="J33" s="403">
        <v>37.89</v>
      </c>
      <c r="K33" s="441">
        <v>155.34900000000002</v>
      </c>
      <c r="L33" s="442" t="s">
        <v>302</v>
      </c>
    </row>
    <row r="34" spans="1:12" ht="15">
      <c r="A34" s="399">
        <v>1</v>
      </c>
      <c r="B34" s="439" t="s">
        <v>255</v>
      </c>
      <c r="C34" s="401" t="s">
        <v>256</v>
      </c>
      <c r="D34" s="400"/>
      <c r="F34" s="400"/>
      <c r="G34" s="401"/>
      <c r="H34" s="400"/>
      <c r="I34" s="440">
        <v>226</v>
      </c>
      <c r="J34" s="403">
        <v>50</v>
      </c>
      <c r="K34" s="404">
        <v>113</v>
      </c>
      <c r="L34" s="442" t="s">
        <v>302</v>
      </c>
    </row>
    <row r="35" spans="2:12" ht="15.75" thickBot="1">
      <c r="B35" s="439"/>
      <c r="C35" s="418"/>
      <c r="D35" s="419"/>
      <c r="F35" s="419"/>
      <c r="G35" s="418"/>
      <c r="H35" s="419"/>
      <c r="I35" s="419"/>
      <c r="J35" s="443"/>
      <c r="K35" s="441"/>
      <c r="L35" s="444"/>
    </row>
    <row r="36" spans="1:12" ht="22.5" thickBot="1" thickTop="1">
      <c r="A36" s="427">
        <v>3</v>
      </c>
      <c r="B36" s="445" t="s">
        <v>265</v>
      </c>
      <c r="C36" s="446"/>
      <c r="D36" s="447"/>
      <c r="E36" s="446"/>
      <c r="F36" s="446"/>
      <c r="G36" s="446"/>
      <c r="H36" s="446"/>
      <c r="I36" s="448">
        <v>1025.4</v>
      </c>
      <c r="J36" s="447"/>
      <c r="K36" s="449">
        <v>415.89266</v>
      </c>
      <c r="L36" s="433"/>
    </row>
    <row r="37" ht="15.75" thickTop="1"/>
    <row r="38" ht="15">
      <c r="B38" s="392" t="s">
        <v>261</v>
      </c>
    </row>
    <row r="39" ht="15">
      <c r="B39" s="392" t="s">
        <v>262</v>
      </c>
    </row>
  </sheetData>
  <sheetProtection/>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V107"/>
  <sheetViews>
    <sheetView zoomScalePageLayoutView="0" workbookViewId="0" topLeftCell="A94">
      <selection activeCell="J100" sqref="J100"/>
    </sheetView>
  </sheetViews>
  <sheetFormatPr defaultColWidth="9.140625" defaultRowHeight="12.75"/>
  <cols>
    <col min="1" max="1" width="9.00390625" style="450" customWidth="1"/>
    <col min="2" max="2" width="17.140625" style="450" customWidth="1"/>
    <col min="3" max="3" width="14.140625" style="450" customWidth="1"/>
    <col min="4" max="4" width="7.8515625" style="450" bestFit="1" customWidth="1"/>
    <col min="5" max="5" width="18.421875" style="450" customWidth="1"/>
    <col min="6" max="6" width="11.421875" style="450" bestFit="1" customWidth="1"/>
    <col min="7" max="7" width="22.8515625" style="450" bestFit="1" customWidth="1"/>
    <col min="8" max="8" width="12.421875" style="450" bestFit="1" customWidth="1"/>
    <col min="9" max="9" width="9.421875" style="450" customWidth="1"/>
    <col min="10" max="10" width="14.28125" style="452" bestFit="1" customWidth="1"/>
    <col min="11" max="11" width="15.28125" style="394" customWidth="1"/>
    <col min="12" max="13" width="3.7109375" style="450" customWidth="1"/>
    <col min="14" max="15" width="9.140625" style="450" customWidth="1"/>
    <col min="16" max="16" width="9.7109375" style="450" bestFit="1" customWidth="1"/>
    <col min="17" max="16384" width="9.140625" style="450" customWidth="1"/>
  </cols>
  <sheetData>
    <row r="1" ht="15"/>
    <row r="2" spans="1:9" ht="15.75">
      <c r="A2" s="389" t="s">
        <v>594</v>
      </c>
      <c r="C2" s="451"/>
      <c r="D2" s="452"/>
      <c r="E2" s="452"/>
      <c r="F2" s="452"/>
      <c r="G2" s="450" t="s">
        <v>407</v>
      </c>
      <c r="H2" s="452"/>
      <c r="I2" s="452"/>
    </row>
    <row r="3" spans="5:7" ht="15">
      <c r="E3" s="452"/>
      <c r="G3" s="450" t="s">
        <v>408</v>
      </c>
    </row>
    <row r="4" spans="1:11" ht="15">
      <c r="A4" s="453"/>
      <c r="B4" s="454"/>
      <c r="F4" s="455"/>
      <c r="G4" s="450" t="s">
        <v>409</v>
      </c>
      <c r="K4" s="393"/>
    </row>
    <row r="5" ht="15.75" thickBot="1"/>
    <row r="6" spans="1:17" s="395" customFormat="1" ht="90.75" thickBot="1">
      <c r="A6" s="669" t="s">
        <v>354</v>
      </c>
      <c r="B6" s="669" t="s">
        <v>4</v>
      </c>
      <c r="C6" s="670" t="s">
        <v>43</v>
      </c>
      <c r="D6" s="670" t="s">
        <v>5</v>
      </c>
      <c r="E6" s="670" t="s">
        <v>44</v>
      </c>
      <c r="F6" s="670" t="s">
        <v>19</v>
      </c>
      <c r="G6" s="670" t="s">
        <v>20</v>
      </c>
      <c r="H6" s="670" t="s">
        <v>295</v>
      </c>
      <c r="I6" s="671" t="s">
        <v>303</v>
      </c>
      <c r="J6" s="672" t="s">
        <v>297</v>
      </c>
      <c r="K6" s="666" t="s">
        <v>298</v>
      </c>
      <c r="L6" s="450"/>
      <c r="N6" s="767" t="s">
        <v>534</v>
      </c>
      <c r="O6" s="768"/>
      <c r="P6" s="769" t="s">
        <v>535</v>
      </c>
      <c r="Q6" s="768"/>
    </row>
    <row r="7" spans="1:17" ht="15">
      <c r="A7" s="456"/>
      <c r="B7" s="457"/>
      <c r="C7" s="458"/>
      <c r="D7" s="459"/>
      <c r="E7" s="458"/>
      <c r="F7" s="458"/>
      <c r="G7" s="458"/>
      <c r="H7" s="459"/>
      <c r="I7" s="460"/>
      <c r="J7" s="461"/>
      <c r="K7" s="462"/>
      <c r="M7" s="395"/>
      <c r="N7" s="463" t="s">
        <v>354</v>
      </c>
      <c r="O7" s="464" t="s">
        <v>536</v>
      </c>
      <c r="P7" s="463" t="s">
        <v>354</v>
      </c>
      <c r="Q7" s="464" t="s">
        <v>536</v>
      </c>
    </row>
    <row r="8" spans="1:20" ht="15">
      <c r="A8" s="465">
        <v>1</v>
      </c>
      <c r="B8" s="466" t="s">
        <v>304</v>
      </c>
      <c r="C8" s="467" t="s">
        <v>187</v>
      </c>
      <c r="D8" s="467">
        <v>1951</v>
      </c>
      <c r="E8" s="468" t="s">
        <v>188</v>
      </c>
      <c r="F8" s="467" t="s">
        <v>24</v>
      </c>
      <c r="G8" s="468" t="s">
        <v>22</v>
      </c>
      <c r="H8" s="469">
        <v>3.67</v>
      </c>
      <c r="I8" s="470">
        <v>49</v>
      </c>
      <c r="J8" s="471">
        <f>+H8</f>
        <v>3.67</v>
      </c>
      <c r="K8" s="405" t="s">
        <v>305</v>
      </c>
      <c r="L8" s="393"/>
      <c r="M8" s="395"/>
      <c r="N8" s="465"/>
      <c r="O8" s="472">
        <f>+IF(N8=1,J8,"")</f>
      </c>
      <c r="P8" s="465">
        <f>+IF(N8=1,"",1)</f>
        <v>1</v>
      </c>
      <c r="Q8" s="472">
        <f>+IF(P8=1,J8,"")</f>
        <v>3.67</v>
      </c>
      <c r="T8" s="718"/>
    </row>
    <row r="9" spans="1:20" ht="15">
      <c r="A9" s="465">
        <v>1</v>
      </c>
      <c r="B9" s="466" t="s">
        <v>306</v>
      </c>
      <c r="C9" s="467" t="s">
        <v>187</v>
      </c>
      <c r="D9" s="467">
        <v>2004</v>
      </c>
      <c r="E9" s="468" t="s">
        <v>188</v>
      </c>
      <c r="F9" s="467" t="s">
        <v>24</v>
      </c>
      <c r="G9" s="468" t="s">
        <v>25</v>
      </c>
      <c r="H9" s="469">
        <v>93.95</v>
      </c>
      <c r="I9" s="470">
        <v>49</v>
      </c>
      <c r="J9" s="471">
        <f>+H9</f>
        <v>93.95</v>
      </c>
      <c r="K9" s="405" t="s">
        <v>305</v>
      </c>
      <c r="L9" s="393"/>
      <c r="M9" s="395"/>
      <c r="N9" s="465"/>
      <c r="O9" s="472">
        <f aca="true" t="shared" si="0" ref="O9:O72">+IF(N9=1,J9,"")</f>
      </c>
      <c r="P9" s="465">
        <f aca="true" t="shared" si="1" ref="P9:P72">+IF(N9=1,"",1)</f>
        <v>1</v>
      </c>
      <c r="Q9" s="472">
        <f aca="true" t="shared" si="2" ref="Q9:Q72">+IF(P9=1,J9,"")</f>
        <v>93.95</v>
      </c>
      <c r="S9" s="473"/>
      <c r="T9" s="718"/>
    </row>
    <row r="10" spans="1:20" ht="15">
      <c r="A10" s="465">
        <v>1</v>
      </c>
      <c r="B10" s="466" t="s">
        <v>172</v>
      </c>
      <c r="C10" s="467" t="s">
        <v>187</v>
      </c>
      <c r="D10" s="467">
        <v>2004</v>
      </c>
      <c r="E10" s="468" t="s">
        <v>188</v>
      </c>
      <c r="F10" s="467" t="s">
        <v>24</v>
      </c>
      <c r="G10" s="468" t="s">
        <v>537</v>
      </c>
      <c r="H10" s="469">
        <v>0.53</v>
      </c>
      <c r="I10" s="474">
        <v>49</v>
      </c>
      <c r="J10" s="471">
        <f>+H10</f>
        <v>0.53</v>
      </c>
      <c r="K10" s="405" t="s">
        <v>305</v>
      </c>
      <c r="L10" s="393"/>
      <c r="M10" s="395"/>
      <c r="N10" s="465"/>
      <c r="O10" s="472">
        <f t="shared" si="0"/>
      </c>
      <c r="P10" s="465">
        <f t="shared" si="1"/>
        <v>1</v>
      </c>
      <c r="Q10" s="472">
        <f t="shared" si="2"/>
        <v>0.53</v>
      </c>
      <c r="T10" s="718"/>
    </row>
    <row r="11" spans="1:20" ht="15">
      <c r="A11" s="465">
        <v>1</v>
      </c>
      <c r="B11" s="466" t="s">
        <v>28</v>
      </c>
      <c r="C11" s="467" t="s">
        <v>187</v>
      </c>
      <c r="D11" s="467">
        <v>1929</v>
      </c>
      <c r="E11" s="468" t="s">
        <v>188</v>
      </c>
      <c r="F11" s="467" t="s">
        <v>24</v>
      </c>
      <c r="G11" s="468" t="s">
        <v>21</v>
      </c>
      <c r="H11" s="469">
        <v>53.2</v>
      </c>
      <c r="I11" s="470">
        <v>49</v>
      </c>
      <c r="J11" s="471">
        <f>+H11</f>
        <v>53.2</v>
      </c>
      <c r="K11" s="405" t="s">
        <v>305</v>
      </c>
      <c r="L11" s="393"/>
      <c r="M11" s="395"/>
      <c r="N11" s="465"/>
      <c r="O11" s="472">
        <f t="shared" si="0"/>
      </c>
      <c r="P11" s="465">
        <f t="shared" si="1"/>
        <v>1</v>
      </c>
      <c r="Q11" s="472">
        <f t="shared" si="2"/>
        <v>53.2</v>
      </c>
      <c r="T11" s="718"/>
    </row>
    <row r="12" spans="1:22" ht="15">
      <c r="A12" s="465">
        <v>1</v>
      </c>
      <c r="B12" s="466" t="s">
        <v>169</v>
      </c>
      <c r="C12" s="467" t="s">
        <v>187</v>
      </c>
      <c r="D12" s="467">
        <v>1925</v>
      </c>
      <c r="E12" s="468" t="s">
        <v>188</v>
      </c>
      <c r="F12" s="467" t="s">
        <v>24</v>
      </c>
      <c r="G12" s="468" t="s">
        <v>195</v>
      </c>
      <c r="H12" s="469">
        <v>7.58</v>
      </c>
      <c r="I12" s="470">
        <v>49</v>
      </c>
      <c r="J12" s="471">
        <f>+H12</f>
        <v>7.58</v>
      </c>
      <c r="K12" s="405" t="s">
        <v>305</v>
      </c>
      <c r="L12" s="393"/>
      <c r="M12" s="395"/>
      <c r="N12" s="465">
        <v>1</v>
      </c>
      <c r="O12" s="472">
        <f t="shared" si="0"/>
        <v>7.58</v>
      </c>
      <c r="P12" s="465">
        <f t="shared" si="1"/>
      </c>
      <c r="Q12" s="472">
        <f t="shared" si="2"/>
      </c>
      <c r="T12" s="718"/>
      <c r="V12" s="718"/>
    </row>
    <row r="13" spans="1:20" ht="15">
      <c r="A13" s="465">
        <v>1</v>
      </c>
      <c r="B13" s="466" t="s">
        <v>27</v>
      </c>
      <c r="C13" s="467" t="s">
        <v>189</v>
      </c>
      <c r="D13" s="467">
        <v>1928</v>
      </c>
      <c r="E13" s="468" t="s">
        <v>48</v>
      </c>
      <c r="F13" s="467" t="s">
        <v>24</v>
      </c>
      <c r="G13" s="468" t="s">
        <v>21</v>
      </c>
      <c r="H13" s="469">
        <v>51.48</v>
      </c>
      <c r="I13" s="470">
        <v>100</v>
      </c>
      <c r="J13" s="471">
        <f aca="true" t="shared" si="3" ref="J13:J27">+H13*I13/100</f>
        <v>51.48</v>
      </c>
      <c r="K13" s="405" t="s">
        <v>305</v>
      </c>
      <c r="L13" s="393"/>
      <c r="M13" s="395"/>
      <c r="N13" s="465"/>
      <c r="O13" s="472">
        <f t="shared" si="0"/>
      </c>
      <c r="P13" s="465">
        <f t="shared" si="1"/>
        <v>1</v>
      </c>
      <c r="Q13" s="472">
        <f t="shared" si="2"/>
        <v>51.48</v>
      </c>
      <c r="T13" s="718"/>
    </row>
    <row r="14" spans="1:20" ht="15">
      <c r="A14" s="465">
        <v>1</v>
      </c>
      <c r="B14" s="466" t="s">
        <v>162</v>
      </c>
      <c r="C14" s="467" t="s">
        <v>189</v>
      </c>
      <c r="D14" s="467">
        <v>1950</v>
      </c>
      <c r="E14" s="468" t="s">
        <v>48</v>
      </c>
      <c r="F14" s="467" t="s">
        <v>24</v>
      </c>
      <c r="G14" s="468" t="s">
        <v>21</v>
      </c>
      <c r="H14" s="469">
        <v>60.78</v>
      </c>
      <c r="I14" s="474">
        <v>100</v>
      </c>
      <c r="J14" s="471">
        <f t="shared" si="3"/>
        <v>60.78</v>
      </c>
      <c r="K14" s="405" t="s">
        <v>305</v>
      </c>
      <c r="L14" s="393"/>
      <c r="M14" s="395"/>
      <c r="N14" s="465"/>
      <c r="O14" s="472">
        <f t="shared" si="0"/>
      </c>
      <c r="P14" s="465">
        <f t="shared" si="1"/>
        <v>1</v>
      </c>
      <c r="Q14" s="472">
        <f t="shared" si="2"/>
        <v>60.78</v>
      </c>
      <c r="T14" s="718"/>
    </row>
    <row r="15" spans="1:20" ht="15">
      <c r="A15" s="465">
        <v>1</v>
      </c>
      <c r="B15" s="466" t="s">
        <v>34</v>
      </c>
      <c r="C15" s="467" t="s">
        <v>189</v>
      </c>
      <c r="D15" s="467">
        <v>1942</v>
      </c>
      <c r="E15" s="468" t="s">
        <v>48</v>
      </c>
      <c r="F15" s="467" t="s">
        <v>24</v>
      </c>
      <c r="G15" s="468" t="s">
        <v>22</v>
      </c>
      <c r="H15" s="469">
        <v>37.62</v>
      </c>
      <c r="I15" s="474">
        <v>100</v>
      </c>
      <c r="J15" s="471">
        <f t="shared" si="3"/>
        <v>37.62</v>
      </c>
      <c r="K15" s="405" t="s">
        <v>305</v>
      </c>
      <c r="L15" s="393"/>
      <c r="M15" s="395"/>
      <c r="N15" s="465"/>
      <c r="O15" s="472">
        <f t="shared" si="0"/>
      </c>
      <c r="P15" s="465">
        <f t="shared" si="1"/>
        <v>1</v>
      </c>
      <c r="Q15" s="472">
        <f t="shared" si="2"/>
        <v>37.62</v>
      </c>
      <c r="T15" s="718"/>
    </row>
    <row r="16" spans="1:20" ht="15">
      <c r="A16" s="465">
        <v>1</v>
      </c>
      <c r="B16" s="466" t="s">
        <v>38</v>
      </c>
      <c r="C16" s="467" t="s">
        <v>190</v>
      </c>
      <c r="D16" s="467">
        <v>1955</v>
      </c>
      <c r="E16" s="468" t="s">
        <v>48</v>
      </c>
      <c r="F16" s="467" t="s">
        <v>24</v>
      </c>
      <c r="G16" s="468" t="s">
        <v>25</v>
      </c>
      <c r="H16" s="469">
        <v>54.78</v>
      </c>
      <c r="I16" s="474">
        <v>100</v>
      </c>
      <c r="J16" s="471">
        <f t="shared" si="3"/>
        <v>54.78</v>
      </c>
      <c r="K16" s="405" t="s">
        <v>305</v>
      </c>
      <c r="L16" s="393"/>
      <c r="M16" s="395"/>
      <c r="N16" s="465"/>
      <c r="O16" s="472">
        <f t="shared" si="0"/>
      </c>
      <c r="P16" s="465">
        <f t="shared" si="1"/>
        <v>1</v>
      </c>
      <c r="Q16" s="472">
        <f t="shared" si="2"/>
        <v>54.78</v>
      </c>
      <c r="T16" s="718"/>
    </row>
    <row r="17" spans="1:20" ht="15">
      <c r="A17" s="465">
        <v>1</v>
      </c>
      <c r="B17" s="466" t="s">
        <v>36</v>
      </c>
      <c r="C17" s="467" t="s">
        <v>190</v>
      </c>
      <c r="D17" s="467">
        <v>1947</v>
      </c>
      <c r="E17" s="468" t="s">
        <v>48</v>
      </c>
      <c r="F17" s="467" t="s">
        <v>24</v>
      </c>
      <c r="G17" s="468" t="s">
        <v>21</v>
      </c>
      <c r="H17" s="469">
        <v>58.26</v>
      </c>
      <c r="I17" s="474">
        <v>100</v>
      </c>
      <c r="J17" s="471">
        <f t="shared" si="3"/>
        <v>58.26</v>
      </c>
      <c r="K17" s="405" t="s">
        <v>305</v>
      </c>
      <c r="L17" s="393"/>
      <c r="M17" s="395"/>
      <c r="N17" s="465"/>
      <c r="O17" s="472">
        <f t="shared" si="0"/>
      </c>
      <c r="P17" s="465">
        <f t="shared" si="1"/>
        <v>1</v>
      </c>
      <c r="Q17" s="472">
        <f t="shared" si="2"/>
        <v>58.26</v>
      </c>
      <c r="T17" s="718"/>
    </row>
    <row r="18" spans="1:20" ht="15">
      <c r="A18" s="465">
        <v>1</v>
      </c>
      <c r="B18" s="466" t="s">
        <v>37</v>
      </c>
      <c r="C18" s="467" t="s">
        <v>190</v>
      </c>
      <c r="D18" s="467">
        <v>1950</v>
      </c>
      <c r="E18" s="468" t="s">
        <v>48</v>
      </c>
      <c r="F18" s="467" t="s">
        <v>24</v>
      </c>
      <c r="G18" s="468" t="s">
        <v>25</v>
      </c>
      <c r="H18" s="469">
        <v>2.02</v>
      </c>
      <c r="I18" s="474">
        <v>100</v>
      </c>
      <c r="J18" s="471">
        <f t="shared" si="3"/>
        <v>2.02</v>
      </c>
      <c r="K18" s="405" t="s">
        <v>305</v>
      </c>
      <c r="L18" s="393"/>
      <c r="M18" s="395"/>
      <c r="N18" s="465"/>
      <c r="O18" s="472">
        <f t="shared" si="0"/>
      </c>
      <c r="P18" s="465">
        <f t="shared" si="1"/>
        <v>1</v>
      </c>
      <c r="Q18" s="472">
        <f t="shared" si="2"/>
        <v>2.02</v>
      </c>
      <c r="T18" s="718"/>
    </row>
    <row r="19" spans="1:20" ht="15">
      <c r="A19" s="465">
        <v>1</v>
      </c>
      <c r="B19" s="466" t="s">
        <v>30</v>
      </c>
      <c r="C19" s="467" t="s">
        <v>190</v>
      </c>
      <c r="D19" s="467">
        <v>1932</v>
      </c>
      <c r="E19" s="468" t="s">
        <v>48</v>
      </c>
      <c r="F19" s="467" t="s">
        <v>24</v>
      </c>
      <c r="G19" s="468" t="s">
        <v>25</v>
      </c>
      <c r="H19" s="469">
        <v>10.79</v>
      </c>
      <c r="I19" s="474">
        <v>100</v>
      </c>
      <c r="J19" s="471">
        <f t="shared" si="3"/>
        <v>10.79</v>
      </c>
      <c r="K19" s="405" t="s">
        <v>305</v>
      </c>
      <c r="L19" s="393"/>
      <c r="M19" s="395"/>
      <c r="N19" s="465"/>
      <c r="O19" s="472">
        <f t="shared" si="0"/>
      </c>
      <c r="P19" s="465">
        <f t="shared" si="1"/>
        <v>1</v>
      </c>
      <c r="Q19" s="472">
        <f t="shared" si="2"/>
        <v>10.79</v>
      </c>
      <c r="T19" s="718"/>
    </row>
    <row r="20" spans="1:20" ht="15">
      <c r="A20" s="465">
        <v>1</v>
      </c>
      <c r="B20" s="466" t="s">
        <v>31</v>
      </c>
      <c r="C20" s="467" t="s">
        <v>190</v>
      </c>
      <c r="D20" s="467">
        <v>1933</v>
      </c>
      <c r="E20" s="468" t="s">
        <v>48</v>
      </c>
      <c r="F20" s="467" t="s">
        <v>24</v>
      </c>
      <c r="G20" s="468" t="s">
        <v>25</v>
      </c>
      <c r="H20" s="469">
        <v>32.35</v>
      </c>
      <c r="I20" s="474">
        <v>100</v>
      </c>
      <c r="J20" s="471">
        <f t="shared" si="3"/>
        <v>32.35</v>
      </c>
      <c r="K20" s="405" t="s">
        <v>305</v>
      </c>
      <c r="L20" s="393"/>
      <c r="N20" s="465"/>
      <c r="O20" s="472">
        <f t="shared" si="0"/>
      </c>
      <c r="P20" s="465">
        <f t="shared" si="1"/>
        <v>1</v>
      </c>
      <c r="Q20" s="472">
        <f t="shared" si="2"/>
        <v>32.35</v>
      </c>
      <c r="T20" s="718"/>
    </row>
    <row r="21" spans="1:20" ht="15">
      <c r="A21" s="465">
        <v>1</v>
      </c>
      <c r="B21" s="466" t="s">
        <v>29</v>
      </c>
      <c r="C21" s="467" t="s">
        <v>190</v>
      </c>
      <c r="D21" s="467">
        <v>1929</v>
      </c>
      <c r="E21" s="468" t="s">
        <v>48</v>
      </c>
      <c r="F21" s="467" t="s">
        <v>24</v>
      </c>
      <c r="G21" s="468" t="s">
        <v>21</v>
      </c>
      <c r="H21" s="469">
        <v>8.47</v>
      </c>
      <c r="I21" s="474">
        <v>100</v>
      </c>
      <c r="J21" s="471">
        <f t="shared" si="3"/>
        <v>8.47</v>
      </c>
      <c r="K21" s="405" t="s">
        <v>305</v>
      </c>
      <c r="L21" s="393"/>
      <c r="N21" s="465"/>
      <c r="O21" s="472">
        <f t="shared" si="0"/>
      </c>
      <c r="P21" s="465">
        <f t="shared" si="1"/>
        <v>1</v>
      </c>
      <c r="Q21" s="472">
        <f t="shared" si="2"/>
        <v>8.47</v>
      </c>
      <c r="T21" s="718"/>
    </row>
    <row r="22" spans="1:20" ht="15">
      <c r="A22" s="465">
        <v>1</v>
      </c>
      <c r="B22" s="466" t="s">
        <v>26</v>
      </c>
      <c r="C22" s="467" t="s">
        <v>190</v>
      </c>
      <c r="D22" s="467">
        <v>1923</v>
      </c>
      <c r="E22" s="468" t="s">
        <v>48</v>
      </c>
      <c r="F22" s="467" t="s">
        <v>24</v>
      </c>
      <c r="G22" s="468" t="s">
        <v>21</v>
      </c>
      <c r="H22" s="469">
        <v>147</v>
      </c>
      <c r="I22" s="474">
        <v>100</v>
      </c>
      <c r="J22" s="471">
        <f t="shared" si="3"/>
        <v>147</v>
      </c>
      <c r="K22" s="405" t="s">
        <v>305</v>
      </c>
      <c r="L22" s="393"/>
      <c r="N22" s="465"/>
      <c r="O22" s="472">
        <f t="shared" si="0"/>
      </c>
      <c r="P22" s="465">
        <f t="shared" si="1"/>
        <v>1</v>
      </c>
      <c r="Q22" s="472">
        <f t="shared" si="2"/>
        <v>147</v>
      </c>
      <c r="T22" s="718"/>
    </row>
    <row r="23" spans="1:20" ht="15">
      <c r="A23" s="465">
        <v>1</v>
      </c>
      <c r="B23" s="466" t="s">
        <v>33</v>
      </c>
      <c r="C23" s="467" t="s">
        <v>190</v>
      </c>
      <c r="D23" s="467">
        <v>1936</v>
      </c>
      <c r="E23" s="468" t="s">
        <v>48</v>
      </c>
      <c r="F23" s="467" t="s">
        <v>24</v>
      </c>
      <c r="G23" s="468" t="s">
        <v>21</v>
      </c>
      <c r="H23" s="469">
        <v>39.11</v>
      </c>
      <c r="I23" s="474">
        <v>100</v>
      </c>
      <c r="J23" s="471">
        <f t="shared" si="3"/>
        <v>39.11</v>
      </c>
      <c r="K23" s="405" t="s">
        <v>305</v>
      </c>
      <c r="L23" s="393"/>
      <c r="N23" s="465"/>
      <c r="O23" s="472">
        <f t="shared" si="0"/>
      </c>
      <c r="P23" s="465">
        <f t="shared" si="1"/>
        <v>1</v>
      </c>
      <c r="Q23" s="472">
        <f t="shared" si="2"/>
        <v>39.11</v>
      </c>
      <c r="T23" s="718"/>
    </row>
    <row r="24" spans="1:20" ht="15">
      <c r="A24" s="465">
        <v>1</v>
      </c>
      <c r="B24" s="466" t="s">
        <v>40</v>
      </c>
      <c r="C24" s="467" t="s">
        <v>191</v>
      </c>
      <c r="D24" s="467">
        <v>1962</v>
      </c>
      <c r="E24" s="468" t="s">
        <v>48</v>
      </c>
      <c r="F24" s="467" t="s">
        <v>24</v>
      </c>
      <c r="G24" s="468" t="s">
        <v>21</v>
      </c>
      <c r="H24" s="469">
        <v>13.32</v>
      </c>
      <c r="I24" s="474">
        <v>100</v>
      </c>
      <c r="J24" s="471">
        <f t="shared" si="3"/>
        <v>13.32</v>
      </c>
      <c r="K24" s="405" t="s">
        <v>305</v>
      </c>
      <c r="L24" s="393"/>
      <c r="N24" s="465"/>
      <c r="O24" s="472">
        <f t="shared" si="0"/>
      </c>
      <c r="P24" s="465">
        <f t="shared" si="1"/>
        <v>1</v>
      </c>
      <c r="Q24" s="472">
        <f t="shared" si="2"/>
        <v>13.32</v>
      </c>
      <c r="T24" s="718"/>
    </row>
    <row r="25" spans="1:20" ht="15">
      <c r="A25" s="465">
        <v>1</v>
      </c>
      <c r="B25" s="466" t="s">
        <v>192</v>
      </c>
      <c r="C25" s="467" t="s">
        <v>193</v>
      </c>
      <c r="D25" s="467">
        <v>1920</v>
      </c>
      <c r="E25" s="468" t="s">
        <v>48</v>
      </c>
      <c r="F25" s="467" t="s">
        <v>24</v>
      </c>
      <c r="G25" s="468" t="s">
        <v>22</v>
      </c>
      <c r="H25" s="469">
        <v>4.99</v>
      </c>
      <c r="I25" s="474">
        <v>100</v>
      </c>
      <c r="J25" s="471">
        <f t="shared" si="3"/>
        <v>4.99</v>
      </c>
      <c r="K25" s="405" t="s">
        <v>305</v>
      </c>
      <c r="L25" s="393"/>
      <c r="N25" s="465"/>
      <c r="O25" s="472">
        <f t="shared" si="0"/>
      </c>
      <c r="P25" s="465">
        <f t="shared" si="1"/>
        <v>1</v>
      </c>
      <c r="Q25" s="472">
        <f t="shared" si="2"/>
        <v>4.99</v>
      </c>
      <c r="T25" s="718"/>
    </row>
    <row r="26" spans="1:20" ht="15">
      <c r="A26" s="465">
        <v>1</v>
      </c>
      <c r="B26" s="466" t="s">
        <v>147</v>
      </c>
      <c r="C26" s="467" t="s">
        <v>52</v>
      </c>
      <c r="D26" s="467">
        <v>1898</v>
      </c>
      <c r="E26" s="468" t="s">
        <v>48</v>
      </c>
      <c r="F26" s="467" t="s">
        <v>24</v>
      </c>
      <c r="G26" s="468" t="s">
        <v>22</v>
      </c>
      <c r="H26" s="469">
        <v>11.72</v>
      </c>
      <c r="I26" s="474">
        <v>100</v>
      </c>
      <c r="J26" s="471">
        <f t="shared" si="3"/>
        <v>11.72</v>
      </c>
      <c r="K26" s="405" t="s">
        <v>305</v>
      </c>
      <c r="L26" s="393"/>
      <c r="N26" s="465"/>
      <c r="O26" s="472">
        <f t="shared" si="0"/>
      </c>
      <c r="P26" s="465">
        <f t="shared" si="1"/>
        <v>1</v>
      </c>
      <c r="Q26" s="472">
        <f t="shared" si="2"/>
        <v>11.72</v>
      </c>
      <c r="T26" s="718"/>
    </row>
    <row r="27" spans="1:20" ht="15">
      <c r="A27" s="465">
        <v>1</v>
      </c>
      <c r="B27" s="466" t="s">
        <v>148</v>
      </c>
      <c r="C27" s="467" t="s">
        <v>52</v>
      </c>
      <c r="D27" s="467">
        <v>1914</v>
      </c>
      <c r="E27" s="468" t="s">
        <v>48</v>
      </c>
      <c r="F27" s="467" t="s">
        <v>24</v>
      </c>
      <c r="G27" s="468" t="s">
        <v>22</v>
      </c>
      <c r="H27" s="469">
        <v>22.81</v>
      </c>
      <c r="I27" s="474">
        <v>100</v>
      </c>
      <c r="J27" s="471">
        <f t="shared" si="3"/>
        <v>22.81</v>
      </c>
      <c r="K27" s="405" t="s">
        <v>305</v>
      </c>
      <c r="L27" s="393"/>
      <c r="N27" s="465"/>
      <c r="O27" s="472">
        <f t="shared" si="0"/>
      </c>
      <c r="P27" s="465">
        <f t="shared" si="1"/>
        <v>1</v>
      </c>
      <c r="Q27" s="472">
        <f t="shared" si="2"/>
        <v>22.81</v>
      </c>
      <c r="T27" s="718"/>
    </row>
    <row r="28" spans="1:20" ht="15">
      <c r="A28" s="465">
        <v>1</v>
      </c>
      <c r="B28" s="466" t="s">
        <v>12</v>
      </c>
      <c r="C28" s="467" t="s">
        <v>194</v>
      </c>
      <c r="D28" s="467">
        <v>1929</v>
      </c>
      <c r="E28" s="468" t="s">
        <v>48</v>
      </c>
      <c r="F28" s="467" t="s">
        <v>24</v>
      </c>
      <c r="G28" s="468" t="s">
        <v>21</v>
      </c>
      <c r="H28" s="469">
        <v>20.81</v>
      </c>
      <c r="I28" s="474">
        <v>100</v>
      </c>
      <c r="J28" s="471">
        <f>+H28*I28%</f>
        <v>20.81</v>
      </c>
      <c r="K28" s="405" t="s">
        <v>305</v>
      </c>
      <c r="L28" s="393"/>
      <c r="N28" s="465"/>
      <c r="O28" s="472">
        <f t="shared" si="0"/>
      </c>
      <c r="P28" s="465">
        <f t="shared" si="1"/>
        <v>1</v>
      </c>
      <c r="Q28" s="472">
        <f t="shared" si="2"/>
        <v>20.81</v>
      </c>
      <c r="T28" s="718"/>
    </row>
    <row r="29" spans="1:20" ht="15">
      <c r="A29" s="465">
        <v>1</v>
      </c>
      <c r="B29" s="466" t="s">
        <v>13</v>
      </c>
      <c r="C29" s="467" t="s">
        <v>194</v>
      </c>
      <c r="D29" s="467">
        <v>1942</v>
      </c>
      <c r="E29" s="468" t="s">
        <v>48</v>
      </c>
      <c r="F29" s="467" t="s">
        <v>24</v>
      </c>
      <c r="G29" s="468" t="s">
        <v>195</v>
      </c>
      <c r="H29" s="469">
        <v>2.21</v>
      </c>
      <c r="I29" s="474">
        <v>100</v>
      </c>
      <c r="J29" s="471">
        <f>+H29*I29%</f>
        <v>2.21</v>
      </c>
      <c r="K29" s="405" t="s">
        <v>305</v>
      </c>
      <c r="L29" s="393"/>
      <c r="N29" s="465">
        <v>1</v>
      </c>
      <c r="O29" s="472">
        <f t="shared" si="0"/>
        <v>2.21</v>
      </c>
      <c r="P29" s="465">
        <f t="shared" si="1"/>
      </c>
      <c r="Q29" s="472">
        <f t="shared" si="2"/>
      </c>
      <c r="T29" s="718"/>
    </row>
    <row r="30" spans="1:20" ht="15">
      <c r="A30" s="465">
        <v>1</v>
      </c>
      <c r="B30" s="466" t="s">
        <v>196</v>
      </c>
      <c r="C30" s="467" t="s">
        <v>63</v>
      </c>
      <c r="D30" s="467">
        <v>1942</v>
      </c>
      <c r="E30" s="468" t="s">
        <v>48</v>
      </c>
      <c r="F30" s="467" t="s">
        <v>24</v>
      </c>
      <c r="G30" s="468" t="s">
        <v>22</v>
      </c>
      <c r="H30" s="469">
        <v>5.27</v>
      </c>
      <c r="I30" s="474">
        <v>100</v>
      </c>
      <c r="J30" s="471">
        <f>+H30*I30/100</f>
        <v>5.27</v>
      </c>
      <c r="K30" s="405" t="s">
        <v>305</v>
      </c>
      <c r="L30" s="393"/>
      <c r="N30" s="465"/>
      <c r="O30" s="472">
        <f t="shared" si="0"/>
      </c>
      <c r="P30" s="465">
        <f t="shared" si="1"/>
        <v>1</v>
      </c>
      <c r="Q30" s="472">
        <f t="shared" si="2"/>
        <v>5.27</v>
      </c>
      <c r="S30" s="473"/>
      <c r="T30" s="718"/>
    </row>
    <row r="31" spans="1:20" ht="15">
      <c r="A31" s="465">
        <v>1</v>
      </c>
      <c r="B31" s="466" t="s">
        <v>35</v>
      </c>
      <c r="C31" s="467" t="s">
        <v>57</v>
      </c>
      <c r="D31" s="467">
        <v>1940</v>
      </c>
      <c r="E31" s="468" t="s">
        <v>48</v>
      </c>
      <c r="F31" s="467" t="s">
        <v>24</v>
      </c>
      <c r="G31" s="468" t="s">
        <v>538</v>
      </c>
      <c r="H31" s="469">
        <v>1.76</v>
      </c>
      <c r="I31" s="474">
        <v>100</v>
      </c>
      <c r="J31" s="471">
        <f>+H31*I31/100</f>
        <v>1.76</v>
      </c>
      <c r="K31" s="405" t="s">
        <v>305</v>
      </c>
      <c r="L31" s="393"/>
      <c r="N31" s="465"/>
      <c r="O31" s="472">
        <f t="shared" si="0"/>
      </c>
      <c r="P31" s="465">
        <f t="shared" si="1"/>
        <v>1</v>
      </c>
      <c r="Q31" s="472">
        <f t="shared" si="2"/>
        <v>1.76</v>
      </c>
      <c r="T31" s="718"/>
    </row>
    <row r="32" spans="1:20" ht="15">
      <c r="A32" s="465">
        <v>1</v>
      </c>
      <c r="B32" s="466" t="s">
        <v>32</v>
      </c>
      <c r="C32" s="467" t="s">
        <v>57</v>
      </c>
      <c r="D32" s="467">
        <v>1935</v>
      </c>
      <c r="E32" s="468" t="s">
        <v>48</v>
      </c>
      <c r="F32" s="467" t="s">
        <v>24</v>
      </c>
      <c r="G32" s="468" t="s">
        <v>21</v>
      </c>
      <c r="H32" s="469">
        <v>26.11</v>
      </c>
      <c r="I32" s="470">
        <v>100</v>
      </c>
      <c r="J32" s="471">
        <f>+H32*I32/100</f>
        <v>26.11</v>
      </c>
      <c r="K32" s="405" t="s">
        <v>305</v>
      </c>
      <c r="L32" s="393"/>
      <c r="N32" s="465"/>
      <c r="O32" s="472">
        <f t="shared" si="0"/>
      </c>
      <c r="P32" s="465">
        <f t="shared" si="1"/>
        <v>1</v>
      </c>
      <c r="Q32" s="472">
        <f t="shared" si="2"/>
        <v>26.11</v>
      </c>
      <c r="T32" s="718"/>
    </row>
    <row r="33" spans="1:20" ht="15">
      <c r="A33" s="465">
        <v>1</v>
      </c>
      <c r="B33" s="466" t="s">
        <v>14</v>
      </c>
      <c r="C33" s="467" t="s">
        <v>55</v>
      </c>
      <c r="D33" s="467">
        <v>1970</v>
      </c>
      <c r="E33" s="468" t="s">
        <v>48</v>
      </c>
      <c r="F33" s="467" t="s">
        <v>24</v>
      </c>
      <c r="G33" s="468" t="s">
        <v>22</v>
      </c>
      <c r="H33" s="469">
        <v>4.91</v>
      </c>
      <c r="I33" s="474">
        <v>100</v>
      </c>
      <c r="J33" s="471">
        <f>+H33*I33%</f>
        <v>4.91</v>
      </c>
      <c r="K33" s="405" t="s">
        <v>305</v>
      </c>
      <c r="L33" s="393"/>
      <c r="N33" s="465"/>
      <c r="O33" s="472">
        <f t="shared" si="0"/>
      </c>
      <c r="P33" s="465">
        <f t="shared" si="1"/>
        <v>1</v>
      </c>
      <c r="Q33" s="472">
        <f t="shared" si="2"/>
        <v>4.91</v>
      </c>
      <c r="T33" s="718"/>
    </row>
    <row r="34" spans="1:20" ht="15">
      <c r="A34" s="465">
        <v>1</v>
      </c>
      <c r="B34" s="466" t="s">
        <v>165</v>
      </c>
      <c r="C34" s="467" t="s">
        <v>189</v>
      </c>
      <c r="D34" s="467">
        <v>1927</v>
      </c>
      <c r="E34" s="468" t="s">
        <v>48</v>
      </c>
      <c r="F34" s="467" t="s">
        <v>24</v>
      </c>
      <c r="G34" s="468" t="s">
        <v>197</v>
      </c>
      <c r="H34" s="469">
        <v>3</v>
      </c>
      <c r="I34" s="474">
        <v>100</v>
      </c>
      <c r="J34" s="471">
        <f>+H34*I34%</f>
        <v>3</v>
      </c>
      <c r="K34" s="405" t="s">
        <v>305</v>
      </c>
      <c r="L34" s="393"/>
      <c r="N34" s="465">
        <v>1</v>
      </c>
      <c r="O34" s="472">
        <f t="shared" si="0"/>
        <v>3</v>
      </c>
      <c r="P34" s="465">
        <f t="shared" si="1"/>
      </c>
      <c r="Q34" s="472">
        <f t="shared" si="2"/>
      </c>
      <c r="T34" s="718"/>
    </row>
    <row r="35" spans="1:20" ht="15">
      <c r="A35" s="465">
        <v>1</v>
      </c>
      <c r="B35" s="466" t="s">
        <v>164</v>
      </c>
      <c r="C35" s="467" t="s">
        <v>189</v>
      </c>
      <c r="D35" s="467">
        <v>1959</v>
      </c>
      <c r="E35" s="468" t="s">
        <v>48</v>
      </c>
      <c r="F35" s="467" t="s">
        <v>24</v>
      </c>
      <c r="G35" s="468" t="s">
        <v>195</v>
      </c>
      <c r="H35" s="469">
        <v>2.49</v>
      </c>
      <c r="I35" s="474">
        <v>100</v>
      </c>
      <c r="J35" s="471">
        <f>+H35*I35%</f>
        <v>2.49</v>
      </c>
      <c r="K35" s="405" t="s">
        <v>305</v>
      </c>
      <c r="L35" s="393"/>
      <c r="N35" s="465">
        <v>1</v>
      </c>
      <c r="O35" s="472">
        <f t="shared" si="0"/>
        <v>2.49</v>
      </c>
      <c r="P35" s="465">
        <f t="shared" si="1"/>
      </c>
      <c r="Q35" s="472">
        <f t="shared" si="2"/>
      </c>
      <c r="T35" s="718"/>
    </row>
    <row r="36" spans="1:20" ht="15">
      <c r="A36" s="465">
        <v>1</v>
      </c>
      <c r="B36" s="466" t="s">
        <v>23</v>
      </c>
      <c r="C36" s="467" t="s">
        <v>189</v>
      </c>
      <c r="D36" s="467">
        <v>1905</v>
      </c>
      <c r="E36" s="468" t="s">
        <v>48</v>
      </c>
      <c r="F36" s="467" t="s">
        <v>24</v>
      </c>
      <c r="G36" s="468" t="s">
        <v>22</v>
      </c>
      <c r="H36" s="469">
        <v>7.9</v>
      </c>
      <c r="I36" s="474">
        <v>100</v>
      </c>
      <c r="J36" s="471">
        <f aca="true" t="shared" si="4" ref="J36:J61">+H36*I36/100</f>
        <v>7.9</v>
      </c>
      <c r="K36" s="405" t="s">
        <v>305</v>
      </c>
      <c r="L36" s="393"/>
      <c r="N36" s="465"/>
      <c r="O36" s="472">
        <f t="shared" si="0"/>
      </c>
      <c r="P36" s="465">
        <f t="shared" si="1"/>
        <v>1</v>
      </c>
      <c r="Q36" s="472">
        <f t="shared" si="2"/>
        <v>7.9</v>
      </c>
      <c r="T36" s="718"/>
    </row>
    <row r="37" spans="1:20" ht="15">
      <c r="A37" s="465">
        <v>1</v>
      </c>
      <c r="B37" s="466" t="s">
        <v>39</v>
      </c>
      <c r="C37" s="467" t="s">
        <v>189</v>
      </c>
      <c r="D37" s="467">
        <v>1960</v>
      </c>
      <c r="E37" s="468" t="s">
        <v>48</v>
      </c>
      <c r="F37" s="467" t="s">
        <v>24</v>
      </c>
      <c r="G37" s="468" t="s">
        <v>22</v>
      </c>
      <c r="H37" s="469">
        <v>34.56</v>
      </c>
      <c r="I37" s="474">
        <v>100</v>
      </c>
      <c r="J37" s="471">
        <f t="shared" si="4"/>
        <v>34.56</v>
      </c>
      <c r="K37" s="405" t="s">
        <v>305</v>
      </c>
      <c r="L37" s="393"/>
      <c r="N37" s="465"/>
      <c r="O37" s="472">
        <f t="shared" si="0"/>
      </c>
      <c r="P37" s="465">
        <f t="shared" si="1"/>
        <v>1</v>
      </c>
      <c r="Q37" s="472">
        <f t="shared" si="2"/>
        <v>34.56</v>
      </c>
      <c r="T37" s="718"/>
    </row>
    <row r="38" spans="1:20" ht="15">
      <c r="A38" s="465">
        <v>1</v>
      </c>
      <c r="B38" s="466" t="s">
        <v>166</v>
      </c>
      <c r="C38" s="467" t="s">
        <v>198</v>
      </c>
      <c r="D38" s="467">
        <v>1965</v>
      </c>
      <c r="E38" s="468" t="s">
        <v>48</v>
      </c>
      <c r="F38" s="467" t="s">
        <v>24</v>
      </c>
      <c r="G38" s="468" t="s">
        <v>25</v>
      </c>
      <c r="H38" s="469">
        <v>7.46</v>
      </c>
      <c r="I38" s="474">
        <v>100</v>
      </c>
      <c r="J38" s="471">
        <f t="shared" si="4"/>
        <v>7.46</v>
      </c>
      <c r="K38" s="405" t="s">
        <v>305</v>
      </c>
      <c r="L38" s="393"/>
      <c r="N38" s="465"/>
      <c r="O38" s="472">
        <f t="shared" si="0"/>
      </c>
      <c r="P38" s="465">
        <f t="shared" si="1"/>
        <v>1</v>
      </c>
      <c r="Q38" s="472">
        <f t="shared" si="2"/>
        <v>7.46</v>
      </c>
      <c r="T38" s="718"/>
    </row>
    <row r="39" spans="1:20" ht="15">
      <c r="A39" s="465">
        <v>1</v>
      </c>
      <c r="B39" s="466" t="s">
        <v>167</v>
      </c>
      <c r="C39" s="467" t="s">
        <v>198</v>
      </c>
      <c r="D39" s="467">
        <v>1963</v>
      </c>
      <c r="E39" s="468" t="s">
        <v>48</v>
      </c>
      <c r="F39" s="467" t="s">
        <v>24</v>
      </c>
      <c r="G39" s="468" t="s">
        <v>25</v>
      </c>
      <c r="H39" s="469">
        <v>16.65</v>
      </c>
      <c r="I39" s="474">
        <v>100</v>
      </c>
      <c r="J39" s="471">
        <f t="shared" si="4"/>
        <v>16.65</v>
      </c>
      <c r="K39" s="405" t="s">
        <v>305</v>
      </c>
      <c r="L39" s="393"/>
      <c r="N39" s="465"/>
      <c r="O39" s="472">
        <f t="shared" si="0"/>
      </c>
      <c r="P39" s="465">
        <f t="shared" si="1"/>
        <v>1</v>
      </c>
      <c r="Q39" s="472">
        <f t="shared" si="2"/>
        <v>16.65</v>
      </c>
      <c r="T39" s="718"/>
    </row>
    <row r="40" spans="1:20" ht="15">
      <c r="A40" s="465">
        <v>1</v>
      </c>
      <c r="B40" s="466" t="s">
        <v>149</v>
      </c>
      <c r="C40" s="467" t="s">
        <v>198</v>
      </c>
      <c r="D40" s="467">
        <v>1951</v>
      </c>
      <c r="E40" s="468" t="s">
        <v>48</v>
      </c>
      <c r="F40" s="467" t="s">
        <v>24</v>
      </c>
      <c r="G40" s="468" t="s">
        <v>21</v>
      </c>
      <c r="H40" s="469">
        <v>8.7</v>
      </c>
      <c r="I40" s="474">
        <v>100</v>
      </c>
      <c r="J40" s="471">
        <f t="shared" si="4"/>
        <v>8.7</v>
      </c>
      <c r="K40" s="405" t="s">
        <v>305</v>
      </c>
      <c r="L40" s="393"/>
      <c r="N40" s="465"/>
      <c r="O40" s="472">
        <f t="shared" si="0"/>
      </c>
      <c r="P40" s="465">
        <f t="shared" si="1"/>
        <v>1</v>
      </c>
      <c r="Q40" s="472">
        <f t="shared" si="2"/>
        <v>8.7</v>
      </c>
      <c r="T40" s="718"/>
    </row>
    <row r="41" spans="1:20" ht="15">
      <c r="A41" s="465">
        <v>1</v>
      </c>
      <c r="B41" s="466" t="s">
        <v>168</v>
      </c>
      <c r="C41" s="467" t="s">
        <v>198</v>
      </c>
      <c r="D41" s="467">
        <v>1949</v>
      </c>
      <c r="E41" s="468" t="s">
        <v>48</v>
      </c>
      <c r="F41" s="467" t="s">
        <v>24</v>
      </c>
      <c r="G41" s="468" t="s">
        <v>22</v>
      </c>
      <c r="H41" s="469">
        <v>3.57</v>
      </c>
      <c r="I41" s="474">
        <v>100</v>
      </c>
      <c r="J41" s="471">
        <f t="shared" si="4"/>
        <v>3.57</v>
      </c>
      <c r="K41" s="405" t="s">
        <v>305</v>
      </c>
      <c r="L41" s="393"/>
      <c r="N41" s="465"/>
      <c r="O41" s="472">
        <f t="shared" si="0"/>
      </c>
      <c r="P41" s="465">
        <f t="shared" si="1"/>
        <v>1</v>
      </c>
      <c r="Q41" s="472">
        <f t="shared" si="2"/>
        <v>3.57</v>
      </c>
      <c r="T41" s="718"/>
    </row>
    <row r="42" spans="1:20" ht="15">
      <c r="A42" s="465">
        <v>1</v>
      </c>
      <c r="B42" s="466" t="s">
        <v>163</v>
      </c>
      <c r="C42" s="467" t="s">
        <v>198</v>
      </c>
      <c r="D42" s="467">
        <v>1953</v>
      </c>
      <c r="E42" s="468" t="s">
        <v>48</v>
      </c>
      <c r="F42" s="467" t="s">
        <v>24</v>
      </c>
      <c r="G42" s="468" t="s">
        <v>22</v>
      </c>
      <c r="H42" s="469">
        <v>7.52</v>
      </c>
      <c r="I42" s="474">
        <v>100</v>
      </c>
      <c r="J42" s="471">
        <f t="shared" si="4"/>
        <v>7.52</v>
      </c>
      <c r="K42" s="405" t="s">
        <v>305</v>
      </c>
      <c r="L42" s="393"/>
      <c r="N42" s="465"/>
      <c r="O42" s="472">
        <f t="shared" si="0"/>
      </c>
      <c r="P42" s="465">
        <f t="shared" si="1"/>
        <v>1</v>
      </c>
      <c r="Q42" s="472">
        <f t="shared" si="2"/>
        <v>7.52</v>
      </c>
      <c r="T42" s="718"/>
    </row>
    <row r="43" spans="1:20" ht="15">
      <c r="A43" s="465">
        <v>1</v>
      </c>
      <c r="B43" s="466" t="s">
        <v>287</v>
      </c>
      <c r="C43" s="467" t="s">
        <v>224</v>
      </c>
      <c r="D43" s="467">
        <v>2002</v>
      </c>
      <c r="E43" s="475" t="s">
        <v>48</v>
      </c>
      <c r="F43" s="467" t="s">
        <v>24</v>
      </c>
      <c r="G43" s="468" t="s">
        <v>195</v>
      </c>
      <c r="H43" s="469">
        <v>3.59</v>
      </c>
      <c r="I43" s="474">
        <v>100</v>
      </c>
      <c r="J43" s="471">
        <f t="shared" si="4"/>
        <v>3.59</v>
      </c>
      <c r="K43" s="405" t="s">
        <v>305</v>
      </c>
      <c r="L43" s="476" t="s">
        <v>539</v>
      </c>
      <c r="N43" s="465">
        <v>1</v>
      </c>
      <c r="O43" s="472">
        <f t="shared" si="0"/>
        <v>3.59</v>
      </c>
      <c r="P43" s="465">
        <f t="shared" si="1"/>
      </c>
      <c r="Q43" s="472">
        <f t="shared" si="2"/>
      </c>
      <c r="T43" s="718"/>
    </row>
    <row r="44" spans="1:20" ht="15">
      <c r="A44" s="465">
        <v>1</v>
      </c>
      <c r="B44" s="466" t="s">
        <v>307</v>
      </c>
      <c r="C44" s="467" t="s">
        <v>189</v>
      </c>
      <c r="D44" s="467">
        <v>1935</v>
      </c>
      <c r="E44" s="468" t="s">
        <v>199</v>
      </c>
      <c r="F44" s="467" t="s">
        <v>24</v>
      </c>
      <c r="G44" s="468" t="s">
        <v>195</v>
      </c>
      <c r="H44" s="469">
        <v>5.08</v>
      </c>
      <c r="I44" s="474">
        <v>86</v>
      </c>
      <c r="J44" s="471">
        <f>+H44</f>
        <v>5.08</v>
      </c>
      <c r="K44" s="405" t="s">
        <v>305</v>
      </c>
      <c r="L44" s="476" t="s">
        <v>540</v>
      </c>
      <c r="N44" s="465">
        <v>1</v>
      </c>
      <c r="O44" s="472">
        <f t="shared" si="0"/>
        <v>5.08</v>
      </c>
      <c r="P44" s="465">
        <f t="shared" si="1"/>
      </c>
      <c r="Q44" s="472">
        <f t="shared" si="2"/>
      </c>
      <c r="S44" s="473"/>
      <c r="T44" s="718"/>
    </row>
    <row r="45" spans="1:20" ht="15">
      <c r="A45" s="465">
        <v>1</v>
      </c>
      <c r="B45" s="466" t="s">
        <v>308</v>
      </c>
      <c r="C45" s="467" t="s">
        <v>189</v>
      </c>
      <c r="D45" s="467">
        <v>1905</v>
      </c>
      <c r="E45" s="468" t="s">
        <v>199</v>
      </c>
      <c r="F45" s="467" t="s">
        <v>24</v>
      </c>
      <c r="G45" s="468" t="s">
        <v>197</v>
      </c>
      <c r="H45" s="469">
        <v>4.01</v>
      </c>
      <c r="I45" s="474">
        <v>86</v>
      </c>
      <c r="J45" s="471">
        <f>+H45</f>
        <v>4.01</v>
      </c>
      <c r="K45" s="405" t="s">
        <v>305</v>
      </c>
      <c r="L45" s="476" t="s">
        <v>540</v>
      </c>
      <c r="N45" s="465">
        <v>1</v>
      </c>
      <c r="O45" s="472">
        <f t="shared" si="0"/>
        <v>4.01</v>
      </c>
      <c r="P45" s="465">
        <f t="shared" si="1"/>
      </c>
      <c r="Q45" s="472">
        <f t="shared" si="2"/>
      </c>
      <c r="T45" s="718"/>
    </row>
    <row r="46" spans="1:20" ht="15">
      <c r="A46" s="465">
        <v>1</v>
      </c>
      <c r="B46" s="466" t="s">
        <v>309</v>
      </c>
      <c r="C46" s="467" t="s">
        <v>310</v>
      </c>
      <c r="D46" s="467">
        <v>1964</v>
      </c>
      <c r="E46" s="468" t="s">
        <v>199</v>
      </c>
      <c r="F46" s="467" t="s">
        <v>24</v>
      </c>
      <c r="G46" s="468" t="s">
        <v>21</v>
      </c>
      <c r="H46" s="469">
        <v>8.67</v>
      </c>
      <c r="I46" s="474">
        <v>86</v>
      </c>
      <c r="J46" s="471">
        <f>+H46</f>
        <v>8.67</v>
      </c>
      <c r="K46" s="405" t="s">
        <v>305</v>
      </c>
      <c r="L46" s="476" t="s">
        <v>540</v>
      </c>
      <c r="N46" s="465"/>
      <c r="O46" s="472">
        <f t="shared" si="0"/>
      </c>
      <c r="P46" s="465">
        <f t="shared" si="1"/>
        <v>1</v>
      </c>
      <c r="Q46" s="472">
        <f t="shared" si="2"/>
        <v>8.67</v>
      </c>
      <c r="T46" s="718"/>
    </row>
    <row r="47" spans="1:20" ht="15">
      <c r="A47" s="465">
        <v>1</v>
      </c>
      <c r="B47" s="466" t="s">
        <v>311</v>
      </c>
      <c r="C47" s="467" t="s">
        <v>312</v>
      </c>
      <c r="D47" s="467">
        <v>2003</v>
      </c>
      <c r="E47" s="468" t="s">
        <v>48</v>
      </c>
      <c r="F47" s="467" t="s">
        <v>24</v>
      </c>
      <c r="G47" s="468" t="s">
        <v>195</v>
      </c>
      <c r="H47" s="469">
        <v>2.645179341724512</v>
      </c>
      <c r="I47" s="470">
        <v>100</v>
      </c>
      <c r="J47" s="471">
        <f aca="true" t="shared" si="5" ref="J47:J55">+H47*I47/100</f>
        <v>2.645179341724512</v>
      </c>
      <c r="K47" s="405" t="s">
        <v>305</v>
      </c>
      <c r="L47" s="476" t="s">
        <v>541</v>
      </c>
      <c r="N47" s="465">
        <v>1</v>
      </c>
      <c r="O47" s="477">
        <f t="shared" si="0"/>
        <v>2.645179341724512</v>
      </c>
      <c r="P47" s="478">
        <f t="shared" si="1"/>
      </c>
      <c r="Q47" s="477">
        <f t="shared" si="2"/>
      </c>
      <c r="T47" s="718"/>
    </row>
    <row r="48" spans="1:20" ht="15">
      <c r="A48" s="465">
        <v>1</v>
      </c>
      <c r="B48" s="466" t="s">
        <v>313</v>
      </c>
      <c r="C48" s="467" t="s">
        <v>314</v>
      </c>
      <c r="D48" s="467">
        <v>1922</v>
      </c>
      <c r="E48" s="468" t="s">
        <v>48</v>
      </c>
      <c r="F48" s="467" t="s">
        <v>24</v>
      </c>
      <c r="G48" s="468" t="s">
        <v>195</v>
      </c>
      <c r="H48" s="469">
        <v>2.904318470988333</v>
      </c>
      <c r="I48" s="470">
        <v>100</v>
      </c>
      <c r="J48" s="471">
        <f t="shared" si="5"/>
        <v>2.904318470988333</v>
      </c>
      <c r="K48" s="405" t="s">
        <v>305</v>
      </c>
      <c r="L48" s="476" t="s">
        <v>541</v>
      </c>
      <c r="N48" s="465">
        <v>1</v>
      </c>
      <c r="O48" s="477">
        <f t="shared" si="0"/>
        <v>2.904318470988333</v>
      </c>
      <c r="P48" s="478">
        <f t="shared" si="1"/>
      </c>
      <c r="Q48" s="477">
        <f t="shared" si="2"/>
      </c>
      <c r="T48" s="718"/>
    </row>
    <row r="49" spans="1:20" ht="15">
      <c r="A49" s="465">
        <v>1</v>
      </c>
      <c r="B49" s="466" t="s">
        <v>545</v>
      </c>
      <c r="C49" s="467" t="s">
        <v>314</v>
      </c>
      <c r="D49" s="467">
        <v>1918</v>
      </c>
      <c r="E49" s="468" t="s">
        <v>48</v>
      </c>
      <c r="F49" s="467" t="s">
        <v>24</v>
      </c>
      <c r="G49" s="468" t="s">
        <v>195</v>
      </c>
      <c r="H49" s="469">
        <v>0.3445801575748869</v>
      </c>
      <c r="I49" s="470">
        <v>100</v>
      </c>
      <c r="J49" s="471">
        <f t="shared" si="5"/>
        <v>0.34458015757488686</v>
      </c>
      <c r="K49" s="405" t="s">
        <v>305</v>
      </c>
      <c r="L49" s="476" t="s">
        <v>541</v>
      </c>
      <c r="N49" s="465">
        <v>1</v>
      </c>
      <c r="O49" s="477">
        <f t="shared" si="0"/>
        <v>0.34458015757488686</v>
      </c>
      <c r="P49" s="478">
        <f t="shared" si="1"/>
      </c>
      <c r="Q49" s="477">
        <f t="shared" si="2"/>
      </c>
      <c r="T49" s="718"/>
    </row>
    <row r="50" spans="1:20" ht="15">
      <c r="A50" s="465">
        <v>1</v>
      </c>
      <c r="B50" s="466" t="s">
        <v>315</v>
      </c>
      <c r="C50" s="467" t="s">
        <v>316</v>
      </c>
      <c r="D50" s="467">
        <v>1920</v>
      </c>
      <c r="E50" s="468" t="s">
        <v>48</v>
      </c>
      <c r="F50" s="467" t="s">
        <v>24</v>
      </c>
      <c r="G50" s="468" t="s">
        <v>195</v>
      </c>
      <c r="H50" s="469">
        <v>2.8247723366396995</v>
      </c>
      <c r="I50" s="470">
        <v>100</v>
      </c>
      <c r="J50" s="471">
        <f t="shared" si="5"/>
        <v>2.8247723366396995</v>
      </c>
      <c r="K50" s="405" t="s">
        <v>305</v>
      </c>
      <c r="L50" s="476" t="s">
        <v>541</v>
      </c>
      <c r="N50" s="465">
        <v>1</v>
      </c>
      <c r="O50" s="477">
        <f t="shared" si="0"/>
        <v>2.8247723366396995</v>
      </c>
      <c r="P50" s="478">
        <f t="shared" si="1"/>
      </c>
      <c r="Q50" s="477">
        <f t="shared" si="2"/>
      </c>
      <c r="T50" s="718"/>
    </row>
    <row r="51" spans="1:20" ht="15">
      <c r="A51" s="465">
        <v>1</v>
      </c>
      <c r="B51" s="466" t="s">
        <v>317</v>
      </c>
      <c r="C51" s="467" t="s">
        <v>314</v>
      </c>
      <c r="D51" s="467">
        <v>1920</v>
      </c>
      <c r="E51" s="468" t="s">
        <v>48</v>
      </c>
      <c r="F51" s="467" t="s">
        <v>24</v>
      </c>
      <c r="G51" s="468" t="s">
        <v>195</v>
      </c>
      <c r="H51" s="469">
        <v>0.3445801575748869</v>
      </c>
      <c r="I51" s="470">
        <v>100</v>
      </c>
      <c r="J51" s="471">
        <f t="shared" si="5"/>
        <v>0.34458015757488686</v>
      </c>
      <c r="K51" s="405" t="s">
        <v>305</v>
      </c>
      <c r="L51" s="476" t="s">
        <v>541</v>
      </c>
      <c r="N51" s="465">
        <v>1</v>
      </c>
      <c r="O51" s="477">
        <f t="shared" si="0"/>
        <v>0.34458015757488686</v>
      </c>
      <c r="P51" s="478">
        <f t="shared" si="1"/>
      </c>
      <c r="Q51" s="477">
        <f t="shared" si="2"/>
      </c>
      <c r="T51" s="718"/>
    </row>
    <row r="52" spans="1:20" ht="15">
      <c r="A52" s="465">
        <v>1</v>
      </c>
      <c r="B52" s="466" t="s">
        <v>318</v>
      </c>
      <c r="C52" s="467" t="s">
        <v>144</v>
      </c>
      <c r="D52" s="467">
        <v>1939</v>
      </c>
      <c r="E52" s="468" t="s">
        <v>48</v>
      </c>
      <c r="F52" s="467" t="s">
        <v>410</v>
      </c>
      <c r="G52" s="468" t="s">
        <v>195</v>
      </c>
      <c r="H52" s="469">
        <v>0.2927919552930177</v>
      </c>
      <c r="I52" s="470">
        <v>100</v>
      </c>
      <c r="J52" s="471">
        <f t="shared" si="5"/>
        <v>0.2927919552930177</v>
      </c>
      <c r="K52" s="405" t="s">
        <v>305</v>
      </c>
      <c r="L52" s="476" t="s">
        <v>541</v>
      </c>
      <c r="N52" s="465">
        <v>1</v>
      </c>
      <c r="O52" s="477">
        <f t="shared" si="0"/>
        <v>0.2927919552930177</v>
      </c>
      <c r="P52" s="478">
        <f t="shared" si="1"/>
      </c>
      <c r="Q52" s="477">
        <f t="shared" si="2"/>
      </c>
      <c r="T52" s="718"/>
    </row>
    <row r="53" spans="1:20" ht="15">
      <c r="A53" s="465">
        <v>1</v>
      </c>
      <c r="B53" s="466" t="s">
        <v>319</v>
      </c>
      <c r="C53" s="467" t="s">
        <v>316</v>
      </c>
      <c r="D53" s="467">
        <v>1920</v>
      </c>
      <c r="E53" s="468" t="s">
        <v>48</v>
      </c>
      <c r="F53" s="467" t="s">
        <v>24</v>
      </c>
      <c r="G53" s="468" t="s">
        <v>195</v>
      </c>
      <c r="H53" s="469">
        <v>3.4092079924961896</v>
      </c>
      <c r="I53" s="470">
        <v>100</v>
      </c>
      <c r="J53" s="471">
        <f t="shared" si="5"/>
        <v>3.4092079924961896</v>
      </c>
      <c r="K53" s="405" t="s">
        <v>305</v>
      </c>
      <c r="L53" s="476" t="s">
        <v>541</v>
      </c>
      <c r="N53" s="465">
        <v>1</v>
      </c>
      <c r="O53" s="477">
        <f t="shared" si="0"/>
        <v>3.4092079924961896</v>
      </c>
      <c r="P53" s="479">
        <f t="shared" si="1"/>
      </c>
      <c r="Q53" s="477">
        <f t="shared" si="2"/>
      </c>
      <c r="T53" s="718"/>
    </row>
    <row r="54" spans="1:20" ht="15">
      <c r="A54" s="465">
        <v>1</v>
      </c>
      <c r="B54" s="466" t="s">
        <v>320</v>
      </c>
      <c r="C54" s="467" t="s">
        <v>314</v>
      </c>
      <c r="D54" s="467">
        <v>1938</v>
      </c>
      <c r="E54" s="468" t="s">
        <v>48</v>
      </c>
      <c r="F54" s="467" t="s">
        <v>24</v>
      </c>
      <c r="G54" s="468" t="s">
        <v>195</v>
      </c>
      <c r="H54" s="469">
        <v>1.4275463670959603</v>
      </c>
      <c r="I54" s="470">
        <v>100</v>
      </c>
      <c r="J54" s="471">
        <f t="shared" si="5"/>
        <v>1.42754636709596</v>
      </c>
      <c r="K54" s="405" t="s">
        <v>305</v>
      </c>
      <c r="L54" s="476" t="s">
        <v>541</v>
      </c>
      <c r="N54" s="465">
        <v>1</v>
      </c>
      <c r="O54" s="477">
        <f t="shared" si="0"/>
        <v>1.42754636709596</v>
      </c>
      <c r="P54" s="479">
        <f t="shared" si="1"/>
      </c>
      <c r="Q54" s="477">
        <f t="shared" si="2"/>
      </c>
      <c r="T54" s="718"/>
    </row>
    <row r="55" spans="1:20" ht="15">
      <c r="A55" s="465">
        <v>1</v>
      </c>
      <c r="B55" s="466" t="s">
        <v>321</v>
      </c>
      <c r="C55" s="467" t="s">
        <v>144</v>
      </c>
      <c r="D55" s="467">
        <v>1990</v>
      </c>
      <c r="E55" s="468" t="s">
        <v>48</v>
      </c>
      <c r="F55" s="467" t="s">
        <v>410</v>
      </c>
      <c r="G55" s="468" t="s">
        <v>195</v>
      </c>
      <c r="H55" s="469">
        <v>0.141154008391981</v>
      </c>
      <c r="I55" s="470">
        <v>100</v>
      </c>
      <c r="J55" s="471">
        <f t="shared" si="5"/>
        <v>0.141154008391981</v>
      </c>
      <c r="K55" s="405" t="s">
        <v>305</v>
      </c>
      <c r="L55" s="476" t="s">
        <v>541</v>
      </c>
      <c r="N55" s="465">
        <v>1</v>
      </c>
      <c r="O55" s="477">
        <f t="shared" si="0"/>
        <v>0.141154008391981</v>
      </c>
      <c r="P55" s="479">
        <f t="shared" si="1"/>
      </c>
      <c r="Q55" s="477">
        <f t="shared" si="2"/>
      </c>
      <c r="T55" s="718"/>
    </row>
    <row r="56" spans="1:20" ht="15">
      <c r="A56" s="465">
        <v>1</v>
      </c>
      <c r="B56" s="466" t="s">
        <v>322</v>
      </c>
      <c r="C56" s="467" t="s">
        <v>198</v>
      </c>
      <c r="D56" s="467">
        <v>1954</v>
      </c>
      <c r="E56" s="468" t="s">
        <v>323</v>
      </c>
      <c r="F56" s="467" t="s">
        <v>24</v>
      </c>
      <c r="G56" s="468" t="s">
        <v>21</v>
      </c>
      <c r="H56" s="469">
        <v>20.55</v>
      </c>
      <c r="I56" s="470">
        <v>100</v>
      </c>
      <c r="J56" s="471">
        <f t="shared" si="4"/>
        <v>20.55</v>
      </c>
      <c r="K56" s="405" t="s">
        <v>305</v>
      </c>
      <c r="L56" s="476" t="s">
        <v>542</v>
      </c>
      <c r="N56" s="465"/>
      <c r="O56" s="477">
        <f t="shared" si="0"/>
      </c>
      <c r="P56" s="479">
        <f t="shared" si="1"/>
        <v>1</v>
      </c>
      <c r="Q56" s="477">
        <f t="shared" si="2"/>
        <v>20.55</v>
      </c>
      <c r="T56" s="718"/>
    </row>
    <row r="57" spans="1:20" ht="15">
      <c r="A57" s="465">
        <v>1</v>
      </c>
      <c r="B57" s="466" t="s">
        <v>324</v>
      </c>
      <c r="C57" s="467" t="s">
        <v>198</v>
      </c>
      <c r="D57" s="467">
        <v>1997</v>
      </c>
      <c r="E57" s="468" t="s">
        <v>323</v>
      </c>
      <c r="F57" s="467" t="s">
        <v>24</v>
      </c>
      <c r="G57" s="468" t="s">
        <v>22</v>
      </c>
      <c r="H57" s="469">
        <v>10.92</v>
      </c>
      <c r="I57" s="470">
        <v>100</v>
      </c>
      <c r="J57" s="471">
        <f t="shared" si="4"/>
        <v>10.92</v>
      </c>
      <c r="K57" s="405" t="s">
        <v>305</v>
      </c>
      <c r="L57" s="476" t="s">
        <v>542</v>
      </c>
      <c r="N57" s="465"/>
      <c r="O57" s="477">
        <f t="shared" si="0"/>
      </c>
      <c r="P57" s="479">
        <f t="shared" si="1"/>
        <v>1</v>
      </c>
      <c r="Q57" s="477">
        <f t="shared" si="2"/>
        <v>10.92</v>
      </c>
      <c r="S57" s="473"/>
      <c r="T57" s="718"/>
    </row>
    <row r="58" spans="1:20" ht="15">
      <c r="A58" s="465">
        <v>1</v>
      </c>
      <c r="B58" s="466" t="s">
        <v>325</v>
      </c>
      <c r="C58" s="467" t="s">
        <v>198</v>
      </c>
      <c r="D58" s="467">
        <v>1988</v>
      </c>
      <c r="E58" s="468" t="s">
        <v>323</v>
      </c>
      <c r="F58" s="467" t="s">
        <v>24</v>
      </c>
      <c r="G58" s="468" t="s">
        <v>22</v>
      </c>
      <c r="H58" s="469">
        <v>10.23</v>
      </c>
      <c r="I58" s="470">
        <v>100</v>
      </c>
      <c r="J58" s="471">
        <f t="shared" si="4"/>
        <v>10.23</v>
      </c>
      <c r="K58" s="405" t="s">
        <v>305</v>
      </c>
      <c r="L58" s="476" t="s">
        <v>542</v>
      </c>
      <c r="N58" s="465"/>
      <c r="O58" s="477">
        <f t="shared" si="0"/>
      </c>
      <c r="P58" s="479">
        <f t="shared" si="1"/>
        <v>1</v>
      </c>
      <c r="Q58" s="477">
        <f t="shared" si="2"/>
        <v>10.23</v>
      </c>
      <c r="T58" s="718"/>
    </row>
    <row r="59" spans="1:20" ht="15">
      <c r="A59" s="465">
        <v>1</v>
      </c>
      <c r="B59" s="466" t="s">
        <v>326</v>
      </c>
      <c r="C59" s="467" t="s">
        <v>198</v>
      </c>
      <c r="D59" s="467">
        <v>1954</v>
      </c>
      <c r="E59" s="468" t="s">
        <v>323</v>
      </c>
      <c r="F59" s="467" t="s">
        <v>24</v>
      </c>
      <c r="G59" s="468" t="s">
        <v>22</v>
      </c>
      <c r="H59" s="469">
        <v>11.59</v>
      </c>
      <c r="I59" s="470">
        <v>100</v>
      </c>
      <c r="J59" s="471">
        <f t="shared" si="4"/>
        <v>11.59</v>
      </c>
      <c r="K59" s="405" t="s">
        <v>305</v>
      </c>
      <c r="L59" s="476" t="s">
        <v>542</v>
      </c>
      <c r="N59" s="465"/>
      <c r="O59" s="477">
        <f t="shared" si="0"/>
      </c>
      <c r="P59" s="479">
        <f t="shared" si="1"/>
        <v>1</v>
      </c>
      <c r="Q59" s="477">
        <f t="shared" si="2"/>
        <v>11.59</v>
      </c>
      <c r="T59" s="718"/>
    </row>
    <row r="60" spans="1:20" ht="15">
      <c r="A60" s="465">
        <v>1</v>
      </c>
      <c r="B60" s="466" t="s">
        <v>327</v>
      </c>
      <c r="C60" s="467" t="s">
        <v>198</v>
      </c>
      <c r="D60" s="467">
        <v>1988</v>
      </c>
      <c r="E60" s="468" t="s">
        <v>323</v>
      </c>
      <c r="F60" s="467" t="s">
        <v>24</v>
      </c>
      <c r="G60" s="468" t="s">
        <v>22</v>
      </c>
      <c r="H60" s="469">
        <v>18.01</v>
      </c>
      <c r="I60" s="470">
        <v>100</v>
      </c>
      <c r="J60" s="471">
        <f t="shared" si="4"/>
        <v>18.01</v>
      </c>
      <c r="K60" s="405" t="s">
        <v>305</v>
      </c>
      <c r="L60" s="476" t="s">
        <v>542</v>
      </c>
      <c r="N60" s="465"/>
      <c r="O60" s="477">
        <f t="shared" si="0"/>
      </c>
      <c r="P60" s="479">
        <f t="shared" si="1"/>
        <v>1</v>
      </c>
      <c r="Q60" s="477">
        <f t="shared" si="2"/>
        <v>18.01</v>
      </c>
      <c r="T60" s="718"/>
    </row>
    <row r="61" spans="1:20" ht="15">
      <c r="A61" s="465">
        <v>1</v>
      </c>
      <c r="B61" s="466" t="s">
        <v>328</v>
      </c>
      <c r="C61" s="467" t="s">
        <v>198</v>
      </c>
      <c r="D61" s="467">
        <v>1954</v>
      </c>
      <c r="E61" s="468" t="s">
        <v>323</v>
      </c>
      <c r="F61" s="467" t="s">
        <v>24</v>
      </c>
      <c r="G61" s="468" t="s">
        <v>22</v>
      </c>
      <c r="H61" s="469">
        <v>10.09</v>
      </c>
      <c r="I61" s="470">
        <v>100</v>
      </c>
      <c r="J61" s="471">
        <f t="shared" si="4"/>
        <v>10.09</v>
      </c>
      <c r="K61" s="405" t="s">
        <v>305</v>
      </c>
      <c r="L61" s="476" t="s">
        <v>542</v>
      </c>
      <c r="N61" s="465"/>
      <c r="O61" s="477">
        <f t="shared" si="0"/>
      </c>
      <c r="P61" s="479">
        <f t="shared" si="1"/>
        <v>1</v>
      </c>
      <c r="Q61" s="477">
        <f t="shared" si="2"/>
        <v>10.09</v>
      </c>
      <c r="T61" s="718"/>
    </row>
    <row r="62" spans="1:20" ht="15">
      <c r="A62" s="465">
        <v>1</v>
      </c>
      <c r="B62" s="466" t="s">
        <v>329</v>
      </c>
      <c r="C62" s="467" t="s">
        <v>144</v>
      </c>
      <c r="D62" s="467">
        <v>1954</v>
      </c>
      <c r="E62" s="468" t="s">
        <v>323</v>
      </c>
      <c r="F62" s="467" t="s">
        <v>410</v>
      </c>
      <c r="G62" s="468" t="s">
        <v>195</v>
      </c>
      <c r="H62" s="469">
        <v>0.18939930338422084</v>
      </c>
      <c r="I62" s="470">
        <v>100</v>
      </c>
      <c r="J62" s="471">
        <f>+H62*I62/100</f>
        <v>0.18939930338422084</v>
      </c>
      <c r="K62" s="405" t="s">
        <v>305</v>
      </c>
      <c r="L62" s="476" t="s">
        <v>542</v>
      </c>
      <c r="N62" s="465">
        <v>1</v>
      </c>
      <c r="O62" s="477">
        <f t="shared" si="0"/>
        <v>0.18939930338422084</v>
      </c>
      <c r="P62" s="479">
        <f t="shared" si="1"/>
      </c>
      <c r="Q62" s="477">
        <f t="shared" si="2"/>
      </c>
      <c r="T62" s="718"/>
    </row>
    <row r="63" spans="1:20" ht="15">
      <c r="A63" s="465">
        <v>1</v>
      </c>
      <c r="B63" s="466" t="s">
        <v>330</v>
      </c>
      <c r="C63" s="467" t="s">
        <v>144</v>
      </c>
      <c r="D63" s="467">
        <v>1916</v>
      </c>
      <c r="E63" s="468" t="s">
        <v>323</v>
      </c>
      <c r="F63" s="467" t="s">
        <v>411</v>
      </c>
      <c r="G63" s="468" t="s">
        <v>195</v>
      </c>
      <c r="H63" s="469">
        <v>1.392480785562407</v>
      </c>
      <c r="I63" s="470">
        <v>100</v>
      </c>
      <c r="J63" s="471">
        <f aca="true" t="shared" si="6" ref="J63:J95">+H63*I63/100</f>
        <v>1.392480785562407</v>
      </c>
      <c r="K63" s="405" t="s">
        <v>305</v>
      </c>
      <c r="L63" s="476" t="s">
        <v>542</v>
      </c>
      <c r="N63" s="465">
        <v>1</v>
      </c>
      <c r="O63" s="477">
        <f t="shared" si="0"/>
        <v>1.392480785562407</v>
      </c>
      <c r="P63" s="478">
        <f t="shared" si="1"/>
      </c>
      <c r="Q63" s="477">
        <f t="shared" si="2"/>
      </c>
      <c r="T63" s="718"/>
    </row>
    <row r="64" spans="1:20" ht="15">
      <c r="A64" s="465">
        <v>1</v>
      </c>
      <c r="B64" s="466" t="s">
        <v>331</v>
      </c>
      <c r="C64" s="467" t="s">
        <v>144</v>
      </c>
      <c r="D64" s="467">
        <v>1904</v>
      </c>
      <c r="E64" s="468" t="s">
        <v>323</v>
      </c>
      <c r="F64" s="467" t="s">
        <v>411</v>
      </c>
      <c r="G64" s="468" t="s">
        <v>195</v>
      </c>
      <c r="H64" s="469">
        <v>0.898</v>
      </c>
      <c r="I64" s="470">
        <v>100</v>
      </c>
      <c r="J64" s="471">
        <f t="shared" si="6"/>
        <v>0.898</v>
      </c>
      <c r="K64" s="405" t="s">
        <v>305</v>
      </c>
      <c r="L64" s="476" t="s">
        <v>542</v>
      </c>
      <c r="N64" s="465">
        <v>1</v>
      </c>
      <c r="O64" s="477">
        <f t="shared" si="0"/>
        <v>0.898</v>
      </c>
      <c r="P64" s="478">
        <f t="shared" si="1"/>
      </c>
      <c r="Q64" s="477">
        <f t="shared" si="2"/>
      </c>
      <c r="T64" s="718"/>
    </row>
    <row r="65" spans="1:20" ht="15">
      <c r="A65" s="465">
        <v>1</v>
      </c>
      <c r="B65" s="466" t="s">
        <v>332</v>
      </c>
      <c r="C65" s="467" t="s">
        <v>144</v>
      </c>
      <c r="D65" s="467">
        <v>1916</v>
      </c>
      <c r="E65" s="468" t="s">
        <v>323</v>
      </c>
      <c r="F65" s="467" t="s">
        <v>410</v>
      </c>
      <c r="G65" s="468" t="s">
        <v>195</v>
      </c>
      <c r="H65" s="469">
        <v>0.13619639763047364</v>
      </c>
      <c r="I65" s="470">
        <v>100</v>
      </c>
      <c r="J65" s="471">
        <f t="shared" si="6"/>
        <v>0.13619639763047364</v>
      </c>
      <c r="K65" s="405" t="s">
        <v>305</v>
      </c>
      <c r="L65" s="476" t="s">
        <v>542</v>
      </c>
      <c r="N65" s="465">
        <v>1</v>
      </c>
      <c r="O65" s="477">
        <f t="shared" si="0"/>
        <v>0.13619639763047364</v>
      </c>
      <c r="P65" s="478">
        <f t="shared" si="1"/>
      </c>
      <c r="Q65" s="477">
        <f t="shared" si="2"/>
      </c>
      <c r="T65" s="718"/>
    </row>
    <row r="66" spans="1:20" ht="15">
      <c r="A66" s="465">
        <v>1</v>
      </c>
      <c r="B66" s="466" t="s">
        <v>333</v>
      </c>
      <c r="C66" s="467" t="s">
        <v>334</v>
      </c>
      <c r="D66" s="467">
        <v>1905</v>
      </c>
      <c r="E66" s="468" t="s">
        <v>323</v>
      </c>
      <c r="F66" s="467" t="s">
        <v>410</v>
      </c>
      <c r="G66" s="468" t="s">
        <v>195</v>
      </c>
      <c r="H66" s="469">
        <v>0.21360080701078346</v>
      </c>
      <c r="I66" s="470">
        <v>100</v>
      </c>
      <c r="J66" s="471">
        <f t="shared" si="6"/>
        <v>0.21360080701078346</v>
      </c>
      <c r="K66" s="405" t="s">
        <v>305</v>
      </c>
      <c r="L66" s="476" t="s">
        <v>542</v>
      </c>
      <c r="N66" s="465">
        <v>1</v>
      </c>
      <c r="O66" s="477">
        <f t="shared" si="0"/>
        <v>0.21360080701078346</v>
      </c>
      <c r="P66" s="478">
        <f t="shared" si="1"/>
      </c>
      <c r="Q66" s="477">
        <f t="shared" si="2"/>
      </c>
      <c r="T66" s="718"/>
    </row>
    <row r="67" spans="1:20" ht="15">
      <c r="A67" s="465">
        <v>1</v>
      </c>
      <c r="B67" s="466" t="s">
        <v>335</v>
      </c>
      <c r="C67" s="467" t="s">
        <v>144</v>
      </c>
      <c r="D67" s="467">
        <v>1952</v>
      </c>
      <c r="E67" s="468" t="s">
        <v>323</v>
      </c>
      <c r="F67" s="467" t="s">
        <v>24</v>
      </c>
      <c r="G67" s="468" t="s">
        <v>195</v>
      </c>
      <c r="H67" s="469">
        <v>1.67492069222973</v>
      </c>
      <c r="I67" s="470">
        <v>100</v>
      </c>
      <c r="J67" s="471">
        <f t="shared" si="6"/>
        <v>1.67492069222973</v>
      </c>
      <c r="K67" s="405" t="s">
        <v>305</v>
      </c>
      <c r="L67" s="476" t="s">
        <v>542</v>
      </c>
      <c r="N67" s="465">
        <v>1</v>
      </c>
      <c r="O67" s="477">
        <f t="shared" si="0"/>
        <v>1.67492069222973</v>
      </c>
      <c r="P67" s="478">
        <f t="shared" si="1"/>
      </c>
      <c r="Q67" s="477">
        <f t="shared" si="2"/>
      </c>
      <c r="T67" s="718"/>
    </row>
    <row r="68" spans="1:20" ht="15">
      <c r="A68" s="465">
        <v>1</v>
      </c>
      <c r="B68" s="466" t="s">
        <v>336</v>
      </c>
      <c r="C68" s="467" t="s">
        <v>144</v>
      </c>
      <c r="D68" s="467">
        <v>1942</v>
      </c>
      <c r="E68" s="468" t="s">
        <v>323</v>
      </c>
      <c r="F68" s="467" t="s">
        <v>410</v>
      </c>
      <c r="G68" s="468" t="s">
        <v>195</v>
      </c>
      <c r="H68" s="469">
        <v>0.3275249983374075</v>
      </c>
      <c r="I68" s="470">
        <v>100</v>
      </c>
      <c r="J68" s="471">
        <f t="shared" si="6"/>
        <v>0.3275249983374075</v>
      </c>
      <c r="K68" s="405" t="s">
        <v>305</v>
      </c>
      <c r="L68" s="476" t="s">
        <v>542</v>
      </c>
      <c r="N68" s="465">
        <v>1</v>
      </c>
      <c r="O68" s="477">
        <f t="shared" si="0"/>
        <v>0.3275249983374075</v>
      </c>
      <c r="P68" s="478">
        <f t="shared" si="1"/>
      </c>
      <c r="Q68" s="477">
        <f t="shared" si="2"/>
      </c>
      <c r="T68" s="718"/>
    </row>
    <row r="69" spans="1:20" ht="15">
      <c r="A69" s="465">
        <v>1</v>
      </c>
      <c r="B69" s="466" t="s">
        <v>337</v>
      </c>
      <c r="C69" s="467" t="s">
        <v>334</v>
      </c>
      <c r="D69" s="467">
        <v>1905</v>
      </c>
      <c r="E69" s="468" t="s">
        <v>323</v>
      </c>
      <c r="F69" s="467" t="s">
        <v>410</v>
      </c>
      <c r="G69" s="468" t="s">
        <v>195</v>
      </c>
      <c r="H69" s="469">
        <v>0.314828900155645</v>
      </c>
      <c r="I69" s="470">
        <v>100</v>
      </c>
      <c r="J69" s="471">
        <f t="shared" si="6"/>
        <v>0.314828900155645</v>
      </c>
      <c r="K69" s="405" t="s">
        <v>305</v>
      </c>
      <c r="L69" s="476" t="s">
        <v>542</v>
      </c>
      <c r="N69" s="465">
        <v>1</v>
      </c>
      <c r="O69" s="477">
        <f t="shared" si="0"/>
        <v>0.314828900155645</v>
      </c>
      <c r="P69" s="478">
        <f t="shared" si="1"/>
      </c>
      <c r="Q69" s="477">
        <f t="shared" si="2"/>
      </c>
      <c r="T69" s="718"/>
    </row>
    <row r="70" spans="1:20" ht="15">
      <c r="A70" s="465">
        <v>1</v>
      </c>
      <c r="B70" s="466" t="s">
        <v>338</v>
      </c>
      <c r="C70" s="467" t="s">
        <v>334</v>
      </c>
      <c r="D70" s="467">
        <v>1907</v>
      </c>
      <c r="E70" s="468" t="s">
        <v>323</v>
      </c>
      <c r="F70" s="467" t="s">
        <v>410</v>
      </c>
      <c r="G70" s="468" t="s">
        <v>195</v>
      </c>
      <c r="H70" s="469">
        <v>0.42471481860381793</v>
      </c>
      <c r="I70" s="470">
        <v>100</v>
      </c>
      <c r="J70" s="471">
        <f t="shared" si="6"/>
        <v>0.42471481860381793</v>
      </c>
      <c r="K70" s="405" t="s">
        <v>305</v>
      </c>
      <c r="L70" s="476" t="s">
        <v>542</v>
      </c>
      <c r="N70" s="465">
        <v>1</v>
      </c>
      <c r="O70" s="477">
        <f t="shared" si="0"/>
        <v>0.42471481860381793</v>
      </c>
      <c r="P70" s="478">
        <f t="shared" si="1"/>
      </c>
      <c r="Q70" s="477">
        <f t="shared" si="2"/>
      </c>
      <c r="T70" s="718"/>
    </row>
    <row r="71" spans="1:20" ht="15">
      <c r="A71" s="465">
        <v>1</v>
      </c>
      <c r="B71" s="466" t="s">
        <v>339</v>
      </c>
      <c r="C71" s="467" t="s">
        <v>198</v>
      </c>
      <c r="D71" s="467">
        <v>1922</v>
      </c>
      <c r="E71" s="468" t="s">
        <v>323</v>
      </c>
      <c r="F71" s="467" t="s">
        <v>410</v>
      </c>
      <c r="G71" s="468" t="s">
        <v>195</v>
      </c>
      <c r="H71" s="469">
        <v>0.4884718747159664</v>
      </c>
      <c r="I71" s="470">
        <v>100</v>
      </c>
      <c r="J71" s="471">
        <f t="shared" si="6"/>
        <v>0.4884718747159664</v>
      </c>
      <c r="K71" s="405" t="s">
        <v>305</v>
      </c>
      <c r="L71" s="476" t="s">
        <v>542</v>
      </c>
      <c r="N71" s="465">
        <v>1</v>
      </c>
      <c r="O71" s="477">
        <f t="shared" si="0"/>
        <v>0.4884718747159664</v>
      </c>
      <c r="P71" s="478">
        <f t="shared" si="1"/>
      </c>
      <c r="Q71" s="477">
        <f t="shared" si="2"/>
      </c>
      <c r="T71" s="718"/>
    </row>
    <row r="72" spans="1:20" ht="15">
      <c r="A72" s="465">
        <v>1</v>
      </c>
      <c r="B72" s="466" t="s">
        <v>340</v>
      </c>
      <c r="C72" s="467" t="s">
        <v>144</v>
      </c>
      <c r="D72" s="467">
        <v>1901</v>
      </c>
      <c r="E72" s="468" t="s">
        <v>323</v>
      </c>
      <c r="F72" s="467" t="s">
        <v>410</v>
      </c>
      <c r="G72" s="468" t="s">
        <v>195</v>
      </c>
      <c r="H72" s="469">
        <v>0.660887651161612</v>
      </c>
      <c r="I72" s="470">
        <v>100</v>
      </c>
      <c r="J72" s="471">
        <f t="shared" si="6"/>
        <v>0.660887651161612</v>
      </c>
      <c r="K72" s="405" t="s">
        <v>305</v>
      </c>
      <c r="L72" s="476" t="s">
        <v>542</v>
      </c>
      <c r="N72" s="465">
        <v>1</v>
      </c>
      <c r="O72" s="477">
        <f t="shared" si="0"/>
        <v>0.660887651161612</v>
      </c>
      <c r="P72" s="478">
        <f t="shared" si="1"/>
      </c>
      <c r="Q72" s="477">
        <f t="shared" si="2"/>
      </c>
      <c r="T72" s="718"/>
    </row>
    <row r="73" spans="1:20" ht="15">
      <c r="A73" s="465">
        <v>1</v>
      </c>
      <c r="B73" s="466" t="s">
        <v>341</v>
      </c>
      <c r="C73" s="467" t="s">
        <v>334</v>
      </c>
      <c r="D73" s="467">
        <v>1905</v>
      </c>
      <c r="E73" s="468" t="s">
        <v>323</v>
      </c>
      <c r="F73" s="467" t="s">
        <v>410</v>
      </c>
      <c r="G73" s="468" t="s">
        <v>195</v>
      </c>
      <c r="H73" s="469">
        <v>0.5425069924156682</v>
      </c>
      <c r="I73" s="470">
        <v>100</v>
      </c>
      <c r="J73" s="471">
        <f t="shared" si="6"/>
        <v>0.5425069924156682</v>
      </c>
      <c r="K73" s="405" t="s">
        <v>305</v>
      </c>
      <c r="L73" s="476" t="s">
        <v>542</v>
      </c>
      <c r="N73" s="465">
        <v>1</v>
      </c>
      <c r="O73" s="477">
        <f>+IF(N73=1,J73,"")</f>
        <v>0.5425069924156682</v>
      </c>
      <c r="P73" s="478">
        <f>+IF(N73=1,"",1)</f>
      </c>
      <c r="Q73" s="477">
        <f>+IF(P73=1,J73,"")</f>
      </c>
      <c r="T73" s="718"/>
    </row>
    <row r="74" spans="1:20" ht="15">
      <c r="A74" s="465">
        <v>1</v>
      </c>
      <c r="B74" s="466" t="s">
        <v>342</v>
      </c>
      <c r="C74" s="467" t="s">
        <v>144</v>
      </c>
      <c r="D74" s="467">
        <v>1905</v>
      </c>
      <c r="E74" s="468" t="s">
        <v>323</v>
      </c>
      <c r="F74" s="467" t="s">
        <v>410</v>
      </c>
      <c r="G74" s="468" t="s">
        <v>195</v>
      </c>
      <c r="H74" s="469">
        <v>0.20442806703246383</v>
      </c>
      <c r="I74" s="470">
        <v>100</v>
      </c>
      <c r="J74" s="471">
        <f t="shared" si="6"/>
        <v>0.20442806703246383</v>
      </c>
      <c r="K74" s="405" t="s">
        <v>305</v>
      </c>
      <c r="L74" s="476" t="s">
        <v>542</v>
      </c>
      <c r="N74" s="465">
        <v>1</v>
      </c>
      <c r="O74" s="477">
        <f>+IF(N74=1,J74,"")</f>
        <v>0.20442806703246383</v>
      </c>
      <c r="P74" s="478">
        <f>+IF(N74=1,"",1)</f>
      </c>
      <c r="Q74" s="477">
        <f>+IF(P74=1,J74,"")</f>
      </c>
      <c r="T74" s="718"/>
    </row>
    <row r="75" spans="1:20" ht="15">
      <c r="A75" s="465">
        <v>1</v>
      </c>
      <c r="B75" s="466" t="s">
        <v>343</v>
      </c>
      <c r="C75" s="467" t="s">
        <v>334</v>
      </c>
      <c r="D75" s="467">
        <v>1905</v>
      </c>
      <c r="E75" s="468" t="s">
        <v>323</v>
      </c>
      <c r="F75" s="467" t="s">
        <v>410</v>
      </c>
      <c r="G75" s="468" t="s">
        <v>195</v>
      </c>
      <c r="H75" s="469">
        <v>0.29517046527976976</v>
      </c>
      <c r="I75" s="470">
        <v>100</v>
      </c>
      <c r="J75" s="471">
        <f t="shared" si="6"/>
        <v>0.29517046527976976</v>
      </c>
      <c r="K75" s="405" t="s">
        <v>305</v>
      </c>
      <c r="L75" s="476" t="s">
        <v>542</v>
      </c>
      <c r="N75" s="465">
        <v>1</v>
      </c>
      <c r="O75" s="477">
        <f>+IF(N75=1,J75,"")</f>
        <v>0.29517046527976976</v>
      </c>
      <c r="P75" s="478">
        <f>+IF(N75=1,"",1)</f>
      </c>
      <c r="Q75" s="477">
        <f>+IF(P75=1,J75,"")</f>
      </c>
      <c r="T75" s="718"/>
    </row>
    <row r="76" spans="1:20" ht="15">
      <c r="A76" s="465">
        <v>1</v>
      </c>
      <c r="B76" s="466" t="s">
        <v>344</v>
      </c>
      <c r="C76" s="467" t="s">
        <v>144</v>
      </c>
      <c r="D76" s="467">
        <v>1943</v>
      </c>
      <c r="E76" s="468" t="s">
        <v>323</v>
      </c>
      <c r="F76" s="467" t="s">
        <v>411</v>
      </c>
      <c r="G76" s="468" t="s">
        <v>195</v>
      </c>
      <c r="H76" s="469">
        <v>2.3857631001253807</v>
      </c>
      <c r="I76" s="470">
        <v>100</v>
      </c>
      <c r="J76" s="471">
        <f t="shared" si="6"/>
        <v>2.3857631001253807</v>
      </c>
      <c r="K76" s="405" t="s">
        <v>305</v>
      </c>
      <c r="L76" s="476" t="s">
        <v>542</v>
      </c>
      <c r="N76" s="465">
        <v>1</v>
      </c>
      <c r="O76" s="477">
        <f>+IF(N76=1,J76,"")</f>
        <v>2.3857631001253807</v>
      </c>
      <c r="P76" s="478">
        <f>+IF(N76=1,"",1)</f>
      </c>
      <c r="Q76" s="477">
        <f>+IF(P76=1,J76,"")</f>
      </c>
      <c r="T76" s="718"/>
    </row>
    <row r="77" spans="1:20" ht="15">
      <c r="A77" s="465">
        <v>1</v>
      </c>
      <c r="B77" s="466" t="s">
        <v>345</v>
      </c>
      <c r="C77" s="467" t="s">
        <v>144</v>
      </c>
      <c r="D77" s="467">
        <v>1957</v>
      </c>
      <c r="E77" s="468" t="s">
        <v>323</v>
      </c>
      <c r="F77" s="467" t="s">
        <v>410</v>
      </c>
      <c r="G77" s="468" t="s">
        <v>195</v>
      </c>
      <c r="H77" s="469">
        <v>0.19253112159715813</v>
      </c>
      <c r="I77" s="470">
        <v>100</v>
      </c>
      <c r="J77" s="471">
        <f t="shared" si="6"/>
        <v>0.19253112159715813</v>
      </c>
      <c r="K77" s="405" t="s">
        <v>305</v>
      </c>
      <c r="L77" s="476" t="s">
        <v>542</v>
      </c>
      <c r="N77" s="465">
        <v>1</v>
      </c>
      <c r="O77" s="477">
        <v>0.19253112159715813</v>
      </c>
      <c r="P77" s="478"/>
      <c r="Q77" s="477"/>
      <c r="T77" s="718"/>
    </row>
    <row r="78" spans="1:20" ht="15">
      <c r="A78" s="465">
        <v>1</v>
      </c>
      <c r="B78" s="466" t="s">
        <v>346</v>
      </c>
      <c r="C78" s="467" t="s">
        <v>198</v>
      </c>
      <c r="D78" s="467">
        <v>1906</v>
      </c>
      <c r="E78" s="468" t="s">
        <v>323</v>
      </c>
      <c r="F78" s="467" t="s">
        <v>410</v>
      </c>
      <c r="G78" s="468" t="s">
        <v>195</v>
      </c>
      <c r="H78" s="469">
        <v>0.282</v>
      </c>
      <c r="I78" s="470">
        <v>100</v>
      </c>
      <c r="J78" s="471">
        <f t="shared" si="6"/>
        <v>0.282</v>
      </c>
      <c r="K78" s="405" t="s">
        <v>305</v>
      </c>
      <c r="L78" s="476" t="s">
        <v>542</v>
      </c>
      <c r="N78" s="465">
        <v>1</v>
      </c>
      <c r="O78" s="477">
        <v>0.27780387332412426</v>
      </c>
      <c r="P78" s="478"/>
      <c r="Q78" s="477"/>
      <c r="T78" s="718"/>
    </row>
    <row r="79" spans="1:20" ht="15">
      <c r="A79" s="465">
        <v>1</v>
      </c>
      <c r="B79" s="466" t="s">
        <v>543</v>
      </c>
      <c r="C79" s="467" t="s">
        <v>544</v>
      </c>
      <c r="D79" s="467">
        <v>2017</v>
      </c>
      <c r="E79" s="468" t="s">
        <v>48</v>
      </c>
      <c r="F79" s="467" t="s">
        <v>410</v>
      </c>
      <c r="G79" s="468" t="s">
        <v>195</v>
      </c>
      <c r="H79" s="469">
        <v>4.238</v>
      </c>
      <c r="I79" s="470">
        <v>100</v>
      </c>
      <c r="J79" s="471">
        <f t="shared" si="6"/>
        <v>4.238</v>
      </c>
      <c r="K79" s="405" t="s">
        <v>305</v>
      </c>
      <c r="L79" s="476"/>
      <c r="N79" s="465">
        <v>1</v>
      </c>
      <c r="O79" s="477">
        <v>4.23792</v>
      </c>
      <c r="P79" s="478"/>
      <c r="Q79" s="477"/>
      <c r="T79" s="718"/>
    </row>
    <row r="80" spans="1:20" ht="15">
      <c r="A80" s="465">
        <v>1</v>
      </c>
      <c r="B80" s="714" t="s">
        <v>569</v>
      </c>
      <c r="C80" s="467" t="s">
        <v>316</v>
      </c>
      <c r="D80" s="467">
        <v>2017</v>
      </c>
      <c r="E80" s="468" t="s">
        <v>48</v>
      </c>
      <c r="F80" s="467" t="s">
        <v>24</v>
      </c>
      <c r="G80" s="468" t="s">
        <v>195</v>
      </c>
      <c r="H80" s="469">
        <v>4.758</v>
      </c>
      <c r="I80" s="470">
        <v>100</v>
      </c>
      <c r="J80" s="471">
        <f t="shared" si="6"/>
        <v>4.758</v>
      </c>
      <c r="K80" s="405" t="s">
        <v>305</v>
      </c>
      <c r="L80" s="476"/>
      <c r="N80" s="465">
        <v>1</v>
      </c>
      <c r="O80" s="477">
        <v>4.758</v>
      </c>
      <c r="P80" s="478"/>
      <c r="Q80" s="477"/>
      <c r="T80" s="718"/>
    </row>
    <row r="81" spans="1:20" ht="15">
      <c r="A81" s="465">
        <v>1</v>
      </c>
      <c r="B81" s="714" t="s">
        <v>570</v>
      </c>
      <c r="C81" s="467" t="s">
        <v>585</v>
      </c>
      <c r="D81" s="467">
        <v>2017</v>
      </c>
      <c r="E81" s="468" t="s">
        <v>586</v>
      </c>
      <c r="F81" s="467" t="s">
        <v>587</v>
      </c>
      <c r="G81" s="468" t="s">
        <v>195</v>
      </c>
      <c r="H81" s="469">
        <v>0.155</v>
      </c>
      <c r="I81" s="470">
        <v>72.93</v>
      </c>
      <c r="J81" s="471">
        <f>+H81</f>
        <v>0.155</v>
      </c>
      <c r="K81" s="405" t="s">
        <v>305</v>
      </c>
      <c r="L81" s="476"/>
      <c r="N81" s="465">
        <v>1</v>
      </c>
      <c r="O81" s="477">
        <v>0.155</v>
      </c>
      <c r="P81" s="478"/>
      <c r="Q81" s="477"/>
      <c r="T81" s="718"/>
    </row>
    <row r="82" spans="1:20" ht="15">
      <c r="A82" s="465">
        <v>1</v>
      </c>
      <c r="B82" s="714" t="s">
        <v>571</v>
      </c>
      <c r="C82" s="467" t="s">
        <v>585</v>
      </c>
      <c r="D82" s="467">
        <v>2017</v>
      </c>
      <c r="E82" s="468" t="s">
        <v>586</v>
      </c>
      <c r="F82" s="467" t="s">
        <v>587</v>
      </c>
      <c r="G82" s="468" t="s">
        <v>195</v>
      </c>
      <c r="H82" s="469">
        <v>0.3</v>
      </c>
      <c r="I82" s="470">
        <v>72.93</v>
      </c>
      <c r="J82" s="471">
        <f aca="true" t="shared" si="7" ref="J82:J88">+H82</f>
        <v>0.3</v>
      </c>
      <c r="K82" s="405" t="s">
        <v>305</v>
      </c>
      <c r="L82" s="476"/>
      <c r="N82" s="465">
        <v>1</v>
      </c>
      <c r="O82" s="477">
        <v>0.3</v>
      </c>
      <c r="P82" s="478"/>
      <c r="Q82" s="477"/>
      <c r="T82" s="718"/>
    </row>
    <row r="83" spans="1:20" ht="15">
      <c r="A83" s="465">
        <v>1</v>
      </c>
      <c r="B83" s="714" t="s">
        <v>572</v>
      </c>
      <c r="C83" s="467" t="s">
        <v>585</v>
      </c>
      <c r="D83" s="467">
        <v>2017</v>
      </c>
      <c r="E83" s="468" t="s">
        <v>586</v>
      </c>
      <c r="F83" s="467" t="s">
        <v>587</v>
      </c>
      <c r="G83" s="468" t="s">
        <v>195</v>
      </c>
      <c r="H83" s="469">
        <v>0.16</v>
      </c>
      <c r="I83" s="470">
        <v>72.93</v>
      </c>
      <c r="J83" s="471">
        <f t="shared" si="7"/>
        <v>0.16</v>
      </c>
      <c r="K83" s="405" t="s">
        <v>305</v>
      </c>
      <c r="L83" s="476"/>
      <c r="N83" s="465">
        <v>1</v>
      </c>
      <c r="O83" s="477">
        <v>0.16</v>
      </c>
      <c r="P83" s="478"/>
      <c r="Q83" s="477"/>
      <c r="T83" s="718"/>
    </row>
    <row r="84" spans="1:20" ht="15">
      <c r="A84" s="465">
        <v>1</v>
      </c>
      <c r="B84" s="714" t="s">
        <v>573</v>
      </c>
      <c r="C84" s="467" t="s">
        <v>585</v>
      </c>
      <c r="D84" s="467">
        <v>2017</v>
      </c>
      <c r="E84" s="468" t="s">
        <v>586</v>
      </c>
      <c r="F84" s="467" t="s">
        <v>587</v>
      </c>
      <c r="G84" s="468" t="s">
        <v>195</v>
      </c>
      <c r="H84" s="469">
        <v>0.16</v>
      </c>
      <c r="I84" s="470">
        <v>72.93</v>
      </c>
      <c r="J84" s="471">
        <f t="shared" si="7"/>
        <v>0.16</v>
      </c>
      <c r="K84" s="405" t="s">
        <v>305</v>
      </c>
      <c r="L84" s="476"/>
      <c r="N84" s="465">
        <v>1</v>
      </c>
      <c r="O84" s="477">
        <v>0.16</v>
      </c>
      <c r="P84" s="478"/>
      <c r="Q84" s="477"/>
      <c r="T84" s="718"/>
    </row>
    <row r="85" spans="1:20" ht="15">
      <c r="A85" s="465">
        <v>1</v>
      </c>
      <c r="B85" s="714" t="s">
        <v>574</v>
      </c>
      <c r="C85" s="467" t="s">
        <v>588</v>
      </c>
      <c r="D85" s="467">
        <v>2017</v>
      </c>
      <c r="E85" s="468" t="s">
        <v>586</v>
      </c>
      <c r="F85" s="467" t="s">
        <v>587</v>
      </c>
      <c r="G85" s="468" t="s">
        <v>195</v>
      </c>
      <c r="H85" s="469">
        <v>0.12</v>
      </c>
      <c r="I85" s="470">
        <v>72.93</v>
      </c>
      <c r="J85" s="471">
        <f t="shared" si="7"/>
        <v>0.12</v>
      </c>
      <c r="K85" s="405" t="s">
        <v>305</v>
      </c>
      <c r="L85" s="476"/>
      <c r="N85" s="465">
        <v>1</v>
      </c>
      <c r="O85" s="477">
        <v>0.12</v>
      </c>
      <c r="P85" s="478"/>
      <c r="Q85" s="477"/>
      <c r="T85" s="718"/>
    </row>
    <row r="86" spans="1:20" ht="15">
      <c r="A86" s="465">
        <v>1</v>
      </c>
      <c r="B86" s="714" t="s">
        <v>575</v>
      </c>
      <c r="C86" s="467" t="s">
        <v>588</v>
      </c>
      <c r="D86" s="467">
        <v>2017</v>
      </c>
      <c r="E86" s="468" t="s">
        <v>586</v>
      </c>
      <c r="F86" s="467" t="s">
        <v>587</v>
      </c>
      <c r="G86" s="468" t="s">
        <v>195</v>
      </c>
      <c r="H86" s="469">
        <v>0.13</v>
      </c>
      <c r="I86" s="470">
        <v>72.93</v>
      </c>
      <c r="J86" s="471">
        <f t="shared" si="7"/>
        <v>0.13</v>
      </c>
      <c r="K86" s="405" t="s">
        <v>305</v>
      </c>
      <c r="L86" s="476"/>
      <c r="N86" s="465">
        <v>1</v>
      </c>
      <c r="O86" s="477">
        <v>0.13</v>
      </c>
      <c r="P86" s="478"/>
      <c r="Q86" s="477"/>
      <c r="T86" s="718"/>
    </row>
    <row r="87" spans="1:20" ht="15">
      <c r="A87" s="465">
        <v>1</v>
      </c>
      <c r="B87" s="714" t="s">
        <v>576</v>
      </c>
      <c r="C87" s="467" t="s">
        <v>588</v>
      </c>
      <c r="D87" s="467">
        <v>2017</v>
      </c>
      <c r="E87" s="468" t="s">
        <v>586</v>
      </c>
      <c r="F87" s="467" t="s">
        <v>587</v>
      </c>
      <c r="G87" s="468" t="s">
        <v>195</v>
      </c>
      <c r="H87" s="469">
        <v>0.055</v>
      </c>
      <c r="I87" s="470">
        <v>72.93</v>
      </c>
      <c r="J87" s="471">
        <f t="shared" si="7"/>
        <v>0.055</v>
      </c>
      <c r="K87" s="405" t="s">
        <v>305</v>
      </c>
      <c r="L87" s="476"/>
      <c r="N87" s="465">
        <v>1</v>
      </c>
      <c r="O87" s="477">
        <v>0.055</v>
      </c>
      <c r="P87" s="478"/>
      <c r="Q87" s="477"/>
      <c r="T87" s="718"/>
    </row>
    <row r="88" spans="1:20" ht="15">
      <c r="A88" s="465">
        <v>1</v>
      </c>
      <c r="B88" s="714" t="s">
        <v>577</v>
      </c>
      <c r="C88" s="467" t="s">
        <v>588</v>
      </c>
      <c r="D88" s="467">
        <v>2017</v>
      </c>
      <c r="E88" s="468" t="s">
        <v>586</v>
      </c>
      <c r="F88" s="467" t="s">
        <v>587</v>
      </c>
      <c r="G88" s="468" t="s">
        <v>195</v>
      </c>
      <c r="H88" s="469">
        <v>0.218</v>
      </c>
      <c r="I88" s="470">
        <v>72.93</v>
      </c>
      <c r="J88" s="471">
        <f t="shared" si="7"/>
        <v>0.218</v>
      </c>
      <c r="K88" s="405" t="s">
        <v>305</v>
      </c>
      <c r="L88" s="476"/>
      <c r="N88" s="465">
        <v>1</v>
      </c>
      <c r="O88" s="477">
        <v>0.218</v>
      </c>
      <c r="P88" s="478"/>
      <c r="Q88" s="477"/>
      <c r="T88" s="718"/>
    </row>
    <row r="89" spans="1:20" ht="15">
      <c r="A89" s="465">
        <v>1</v>
      </c>
      <c r="B89" s="714" t="s">
        <v>578</v>
      </c>
      <c r="C89" s="467" t="s">
        <v>585</v>
      </c>
      <c r="D89" s="467">
        <v>2017</v>
      </c>
      <c r="E89" s="468" t="s">
        <v>589</v>
      </c>
      <c r="F89" s="467" t="s">
        <v>587</v>
      </c>
      <c r="G89" s="468" t="s">
        <v>195</v>
      </c>
      <c r="H89" s="469">
        <v>0.051</v>
      </c>
      <c r="I89" s="470">
        <v>100</v>
      </c>
      <c r="J89" s="471">
        <f t="shared" si="6"/>
        <v>0.051</v>
      </c>
      <c r="K89" s="405" t="s">
        <v>305</v>
      </c>
      <c r="L89" s="476"/>
      <c r="N89" s="465">
        <v>1</v>
      </c>
      <c r="O89" s="477">
        <v>0.051</v>
      </c>
      <c r="P89" s="478"/>
      <c r="Q89" s="477"/>
      <c r="T89" s="718"/>
    </row>
    <row r="90" spans="1:20" ht="15">
      <c r="A90" s="465">
        <v>1</v>
      </c>
      <c r="B90" s="714" t="s">
        <v>579</v>
      </c>
      <c r="C90" s="467" t="s">
        <v>585</v>
      </c>
      <c r="D90" s="467">
        <v>2017</v>
      </c>
      <c r="E90" s="468" t="s">
        <v>590</v>
      </c>
      <c r="F90" s="467" t="s">
        <v>587</v>
      </c>
      <c r="G90" s="468" t="s">
        <v>195</v>
      </c>
      <c r="H90" s="469">
        <v>0.335</v>
      </c>
      <c r="I90" s="470">
        <v>51</v>
      </c>
      <c r="J90" s="471">
        <f>+H90</f>
        <v>0.335</v>
      </c>
      <c r="K90" s="405" t="s">
        <v>305</v>
      </c>
      <c r="L90" s="476"/>
      <c r="N90" s="465">
        <v>1</v>
      </c>
      <c r="O90" s="477">
        <v>0.335</v>
      </c>
      <c r="P90" s="478"/>
      <c r="Q90" s="477"/>
      <c r="T90" s="718"/>
    </row>
    <row r="91" spans="1:20" ht="15">
      <c r="A91" s="465">
        <v>1</v>
      </c>
      <c r="B91" s="714" t="s">
        <v>580</v>
      </c>
      <c r="C91" s="467" t="s">
        <v>63</v>
      </c>
      <c r="D91" s="467">
        <v>2017</v>
      </c>
      <c r="E91" s="468" t="s">
        <v>591</v>
      </c>
      <c r="F91" s="467" t="s">
        <v>587</v>
      </c>
      <c r="G91" s="468" t="s">
        <v>195</v>
      </c>
      <c r="H91" s="469">
        <v>0.848</v>
      </c>
      <c r="I91" s="470">
        <v>51.004</v>
      </c>
      <c r="J91" s="471">
        <f>+H91</f>
        <v>0.848</v>
      </c>
      <c r="K91" s="405" t="s">
        <v>305</v>
      </c>
      <c r="L91" s="476"/>
      <c r="N91" s="465">
        <v>1</v>
      </c>
      <c r="O91" s="477">
        <v>0.848</v>
      </c>
      <c r="P91" s="478"/>
      <c r="Q91" s="477"/>
      <c r="T91" s="718"/>
    </row>
    <row r="92" spans="1:20" ht="15">
      <c r="A92" s="465">
        <v>1</v>
      </c>
      <c r="B92" s="714" t="s">
        <v>581</v>
      </c>
      <c r="C92" s="467" t="s">
        <v>588</v>
      </c>
      <c r="D92" s="467">
        <v>2017</v>
      </c>
      <c r="E92" s="468" t="s">
        <v>592</v>
      </c>
      <c r="F92" s="467" t="s">
        <v>587</v>
      </c>
      <c r="G92" s="468" t="s">
        <v>195</v>
      </c>
      <c r="H92" s="469">
        <v>0.0572</v>
      </c>
      <c r="I92" s="470">
        <v>100</v>
      </c>
      <c r="J92" s="471">
        <f t="shared" si="6"/>
        <v>0.0572</v>
      </c>
      <c r="K92" s="405" t="s">
        <v>305</v>
      </c>
      <c r="L92" s="476"/>
      <c r="N92" s="465">
        <v>1</v>
      </c>
      <c r="O92" s="477">
        <v>0.0572</v>
      </c>
      <c r="P92" s="478"/>
      <c r="Q92" s="477"/>
      <c r="T92" s="718"/>
    </row>
    <row r="93" spans="1:20" ht="15">
      <c r="A93" s="465">
        <v>1</v>
      </c>
      <c r="B93" s="714" t="s">
        <v>582</v>
      </c>
      <c r="C93" s="467" t="s">
        <v>585</v>
      </c>
      <c r="D93" s="467">
        <v>2017</v>
      </c>
      <c r="E93" s="468" t="s">
        <v>592</v>
      </c>
      <c r="F93" s="467" t="s">
        <v>587</v>
      </c>
      <c r="G93" s="468" t="s">
        <v>195</v>
      </c>
      <c r="H93" s="469">
        <v>0.18</v>
      </c>
      <c r="I93" s="470">
        <v>100</v>
      </c>
      <c r="J93" s="471">
        <f t="shared" si="6"/>
        <v>0.18</v>
      </c>
      <c r="K93" s="405" t="s">
        <v>305</v>
      </c>
      <c r="L93" s="476"/>
      <c r="N93" s="465">
        <v>1</v>
      </c>
      <c r="O93" s="477">
        <v>0.18</v>
      </c>
      <c r="P93" s="478"/>
      <c r="Q93" s="477"/>
      <c r="T93" s="718"/>
    </row>
    <row r="94" spans="1:20" ht="15">
      <c r="A94" s="465">
        <v>1</v>
      </c>
      <c r="B94" s="714" t="s">
        <v>583</v>
      </c>
      <c r="C94" s="467" t="s">
        <v>585</v>
      </c>
      <c r="D94" s="467">
        <v>2017</v>
      </c>
      <c r="E94" s="468" t="s">
        <v>592</v>
      </c>
      <c r="F94" s="467" t="s">
        <v>587</v>
      </c>
      <c r="G94" s="468" t="s">
        <v>195</v>
      </c>
      <c r="H94" s="469">
        <v>0.12</v>
      </c>
      <c r="I94" s="470">
        <v>100</v>
      </c>
      <c r="J94" s="471">
        <f t="shared" si="6"/>
        <v>0.12</v>
      </c>
      <c r="K94" s="405" t="s">
        <v>305</v>
      </c>
      <c r="L94" s="476"/>
      <c r="N94" s="465">
        <v>1</v>
      </c>
      <c r="O94" s="477">
        <v>0.12</v>
      </c>
      <c r="P94" s="478"/>
      <c r="Q94" s="477"/>
      <c r="T94" s="718"/>
    </row>
    <row r="95" spans="1:20" ht="15">
      <c r="A95" s="465">
        <v>1</v>
      </c>
      <c r="B95" s="715" t="s">
        <v>584</v>
      </c>
      <c r="C95" s="467" t="s">
        <v>585</v>
      </c>
      <c r="D95" s="467">
        <v>2017</v>
      </c>
      <c r="E95" s="468" t="s">
        <v>592</v>
      </c>
      <c r="F95" s="467" t="s">
        <v>587</v>
      </c>
      <c r="G95" s="468" t="s">
        <v>195</v>
      </c>
      <c r="H95" s="469">
        <v>0.16</v>
      </c>
      <c r="I95" s="470">
        <v>100</v>
      </c>
      <c r="J95" s="471">
        <f t="shared" si="6"/>
        <v>0.16</v>
      </c>
      <c r="K95" s="405" t="s">
        <v>305</v>
      </c>
      <c r="L95" s="476"/>
      <c r="N95" s="465">
        <v>1</v>
      </c>
      <c r="O95" s="477">
        <v>0.16</v>
      </c>
      <c r="P95" s="478">
        <f>+IF(N95=1,"",1)</f>
      </c>
      <c r="Q95" s="477">
        <f>+IF(P95=1,J95,"")</f>
      </c>
      <c r="T95" s="718"/>
    </row>
    <row r="96" spans="1:17" ht="15">
      <c r="A96" s="487">
        <f>+SUM(A8:A95)</f>
        <v>88</v>
      </c>
      <c r="B96" s="488" t="s">
        <v>41</v>
      </c>
      <c r="C96" s="489"/>
      <c r="D96" s="490"/>
      <c r="E96" s="489"/>
      <c r="F96" s="489"/>
      <c r="G96" s="489"/>
      <c r="H96" s="491">
        <f>SUM(H8:H95)</f>
        <v>1007.092756763022</v>
      </c>
      <c r="I96" s="490"/>
      <c r="J96" s="492">
        <f>SUM(J8:J95)</f>
        <v>1007.092756763022</v>
      </c>
      <c r="K96" s="413"/>
      <c r="N96" s="465"/>
      <c r="O96" s="472">
        <f>+IF(N96=1,J96,"")</f>
      </c>
      <c r="P96" s="465"/>
      <c r="Q96" s="472">
        <f>+IF(P96=1,J96,"")</f>
      </c>
    </row>
    <row r="97" spans="1:17" ht="15">
      <c r="A97" s="480"/>
      <c r="B97" s="480"/>
      <c r="C97" s="493"/>
      <c r="D97" s="455"/>
      <c r="E97" s="494"/>
      <c r="G97" s="493"/>
      <c r="H97" s="495"/>
      <c r="I97" s="496"/>
      <c r="J97" s="497"/>
      <c r="K97" s="399"/>
      <c r="L97" s="480"/>
      <c r="N97" s="465"/>
      <c r="O97" s="472">
        <f>+IF(N97=1,J97,"")</f>
      </c>
      <c r="P97" s="465"/>
      <c r="Q97" s="472">
        <f>+IF(P97=1,J97,"")</f>
      </c>
    </row>
    <row r="98" spans="1:20" ht="15">
      <c r="A98" s="465">
        <v>1</v>
      </c>
      <c r="B98" s="480" t="s">
        <v>201</v>
      </c>
      <c r="C98" s="467" t="s">
        <v>200</v>
      </c>
      <c r="D98" s="455"/>
      <c r="E98" s="498" t="s">
        <v>201</v>
      </c>
      <c r="F98" s="455"/>
      <c r="G98" s="468"/>
      <c r="H98" s="499">
        <v>626</v>
      </c>
      <c r="I98" s="500">
        <v>20</v>
      </c>
      <c r="J98" s="501">
        <f>+H98*I98%</f>
        <v>125.2</v>
      </c>
      <c r="K98" s="442" t="s">
        <v>347</v>
      </c>
      <c r="L98" s="502"/>
      <c r="N98" s="465"/>
      <c r="O98" s="472">
        <f>+IF(N98=1,J98,"")</f>
      </c>
      <c r="P98" s="465">
        <f>+IF(N98=1,"",1)</f>
        <v>1</v>
      </c>
      <c r="Q98" s="472">
        <f>+IF(P98=1,J98,"")</f>
        <v>125.2</v>
      </c>
      <c r="S98" s="503"/>
      <c r="T98" s="503"/>
    </row>
    <row r="99" spans="1:17" ht="15.75" thickBot="1">
      <c r="A99" s="480"/>
      <c r="B99" s="480"/>
      <c r="C99" s="482"/>
      <c r="D99" s="455"/>
      <c r="E99" s="504"/>
      <c r="F99" s="455"/>
      <c r="G99" s="483"/>
      <c r="H99" s="505"/>
      <c r="I99" s="506"/>
      <c r="J99" s="501"/>
      <c r="K99" s="444"/>
      <c r="N99" s="465"/>
      <c r="O99" s="472"/>
      <c r="P99" s="465"/>
      <c r="Q99" s="472"/>
    </row>
    <row r="100" spans="1:17" ht="22.5" thickBot="1" thickTop="1">
      <c r="A100" s="427">
        <f>+A96+A98</f>
        <v>89</v>
      </c>
      <c r="B100" s="507" t="s">
        <v>593</v>
      </c>
      <c r="C100" s="508"/>
      <c r="D100" s="509"/>
      <c r="E100" s="508"/>
      <c r="F100" s="508"/>
      <c r="G100" s="508"/>
      <c r="H100" s="716">
        <f>+H96+H98</f>
        <v>1633.092756763022</v>
      </c>
      <c r="I100" s="509"/>
      <c r="J100" s="717">
        <f>+J96+J98</f>
        <v>1132.292756763022</v>
      </c>
      <c r="K100" s="433"/>
      <c r="N100" s="510">
        <f>+SUM(N8:N98)</f>
        <v>50</v>
      </c>
      <c r="O100" s="511">
        <f>+SUM(O8:O98)</f>
        <v>64.9584806363461</v>
      </c>
      <c r="P100" s="510">
        <f>+SUM(P8:P98)</f>
        <v>39</v>
      </c>
      <c r="Q100" s="511">
        <f>+SUM(Q8:Q98)</f>
        <v>1067.3300000000002</v>
      </c>
    </row>
    <row r="101" ht="15.75" thickTop="1">
      <c r="D101" s="455"/>
    </row>
    <row r="102" spans="4:11" ht="15">
      <c r="D102" s="455"/>
      <c r="K102" s="393"/>
    </row>
    <row r="103" ht="15.75" thickBot="1"/>
    <row r="104" spans="2:10" ht="15.75" thickBot="1">
      <c r="B104" s="673"/>
      <c r="C104" s="674" t="s">
        <v>536</v>
      </c>
      <c r="D104" s="674" t="s">
        <v>354</v>
      </c>
      <c r="E104" s="512"/>
      <c r="G104" s="512"/>
      <c r="H104" s="512"/>
      <c r="I104" s="512"/>
      <c r="J104" s="512"/>
    </row>
    <row r="105" spans="2:10" ht="15">
      <c r="B105" s="480" t="s">
        <v>546</v>
      </c>
      <c r="C105" s="513">
        <f>+O100</f>
        <v>64.9584806363461</v>
      </c>
      <c r="D105" s="514">
        <f>+N100</f>
        <v>50</v>
      </c>
      <c r="H105" s="515"/>
      <c r="J105" s="450"/>
    </row>
    <row r="106" spans="2:10" ht="15">
      <c r="B106" s="480" t="s">
        <v>547</v>
      </c>
      <c r="C106" s="516">
        <f>+Q100</f>
        <v>1067.3300000000002</v>
      </c>
      <c r="D106" s="517">
        <f>+P100</f>
        <v>39</v>
      </c>
      <c r="H106" s="515"/>
      <c r="J106" s="450"/>
    </row>
    <row r="107" spans="2:10" ht="15.75" thickBot="1">
      <c r="B107" s="518" t="s">
        <v>596</v>
      </c>
      <c r="C107" s="519">
        <f>C105+C106</f>
        <v>1132.2884806363463</v>
      </c>
      <c r="D107" s="520">
        <f>D105+D106</f>
        <v>89</v>
      </c>
      <c r="H107" s="515"/>
      <c r="J107" s="450"/>
    </row>
  </sheetData>
  <sheetProtection/>
  <mergeCells count="2">
    <mergeCell ref="N6:O6"/>
    <mergeCell ref="P6:Q6"/>
  </mergeCells>
  <printOptions/>
  <pageMargins left="0.7" right="0.7" top="0.75" bottom="0.75" header="0.3" footer="0.3"/>
  <pageSetup horizontalDpi="600" verticalDpi="600" orientation="portrait" paperSize="9" r:id="rId3"/>
  <ignoredErrors>
    <ignoredError sqref="J89" formula="1"/>
  </ignoredErrors>
  <legacyDrawing r:id="rId2"/>
</worksheet>
</file>

<file path=xl/worksheets/sheet8.xml><?xml version="1.0" encoding="utf-8"?>
<worksheet xmlns="http://schemas.openxmlformats.org/spreadsheetml/2006/main" xmlns:r="http://schemas.openxmlformats.org/officeDocument/2006/relationships">
  <dimension ref="A2:I61"/>
  <sheetViews>
    <sheetView zoomScalePageLayoutView="0" workbookViewId="0" topLeftCell="A43">
      <selection activeCell="O52" sqref="O52"/>
    </sheetView>
  </sheetViews>
  <sheetFormatPr defaultColWidth="9.140625" defaultRowHeight="12.75"/>
  <cols>
    <col min="1" max="1" width="5.421875" style="455" customWidth="1"/>
    <col min="2" max="2" width="39.00390625" style="450" customWidth="1"/>
    <col min="3" max="3" width="21.57421875" style="450" customWidth="1"/>
    <col min="4" max="4" width="14.8515625" style="450" customWidth="1"/>
    <col min="5" max="5" width="26.140625" style="450" bestFit="1" customWidth="1"/>
    <col min="6" max="6" width="8.57421875" style="450" bestFit="1" customWidth="1"/>
    <col min="7" max="7" width="10.140625" style="450" customWidth="1"/>
    <col min="8" max="8" width="14.28125" style="452" bestFit="1" customWidth="1"/>
    <col min="9" max="9" width="21.00390625" style="521" bestFit="1" customWidth="1"/>
    <col min="10" max="16384" width="9.140625" style="450" customWidth="1"/>
  </cols>
  <sheetData>
    <row r="1" ht="15"/>
    <row r="2" spans="1:7" ht="15.75">
      <c r="A2" s="389" t="s">
        <v>597</v>
      </c>
      <c r="E2" s="452"/>
      <c r="F2" s="452"/>
      <c r="G2" s="452"/>
    </row>
    <row r="3" ht="15"/>
    <row r="4" spans="8:9" ht="15" customHeight="1" thickBot="1">
      <c r="H4" s="522"/>
      <c r="I4" s="523"/>
    </row>
    <row r="5" spans="1:9" ht="75.75" thickBot="1">
      <c r="A5" s="675" t="s">
        <v>354</v>
      </c>
      <c r="B5" s="675" t="s">
        <v>4</v>
      </c>
      <c r="C5" s="675" t="s">
        <v>412</v>
      </c>
      <c r="D5" s="675" t="s">
        <v>5</v>
      </c>
      <c r="E5" s="675" t="s">
        <v>44</v>
      </c>
      <c r="F5" s="666" t="s">
        <v>348</v>
      </c>
      <c r="G5" s="719" t="s">
        <v>303</v>
      </c>
      <c r="H5" s="666" t="s">
        <v>349</v>
      </c>
      <c r="I5" s="666" t="s">
        <v>298</v>
      </c>
    </row>
    <row r="6" spans="1:9" ht="15.75" thickBot="1">
      <c r="A6" s="465"/>
      <c r="B6" s="466"/>
      <c r="C6" s="468"/>
      <c r="D6" s="468"/>
      <c r="E6" s="468"/>
      <c r="F6" s="401"/>
      <c r="G6" s="401"/>
      <c r="H6" s="524"/>
      <c r="I6" s="525"/>
    </row>
    <row r="7" spans="1:9" ht="15.75" thickBot="1">
      <c r="A7" s="465"/>
      <c r="B7" s="526" t="s">
        <v>413</v>
      </c>
      <c r="C7" s="468"/>
      <c r="D7" s="468"/>
      <c r="E7" s="468"/>
      <c r="F7" s="401"/>
      <c r="G7" s="401"/>
      <c r="H7" s="524"/>
      <c r="I7" s="525"/>
    </row>
    <row r="8" spans="1:9" ht="15">
      <c r="A8" s="465"/>
      <c r="B8" s="466"/>
      <c r="C8" s="468"/>
      <c r="D8" s="468"/>
      <c r="E8" s="468"/>
      <c r="F8" s="401"/>
      <c r="G8" s="401"/>
      <c r="H8" s="524"/>
      <c r="I8" s="525"/>
    </row>
    <row r="9" spans="1:9" ht="15">
      <c r="A9" s="465">
        <v>1</v>
      </c>
      <c r="B9" s="527" t="s">
        <v>258</v>
      </c>
      <c r="C9" s="528" t="s">
        <v>414</v>
      </c>
      <c r="D9" s="529">
        <v>2005</v>
      </c>
      <c r="E9" s="528" t="s">
        <v>257</v>
      </c>
      <c r="F9" s="530">
        <v>70</v>
      </c>
      <c r="G9" s="531">
        <v>24.99</v>
      </c>
      <c r="H9" s="532">
        <v>70</v>
      </c>
      <c r="I9" s="533" t="s">
        <v>305</v>
      </c>
    </row>
    <row r="10" spans="1:9" ht="15">
      <c r="A10" s="465">
        <v>1</v>
      </c>
      <c r="B10" s="527" t="s">
        <v>259</v>
      </c>
      <c r="C10" s="528" t="s">
        <v>414</v>
      </c>
      <c r="D10" s="529">
        <v>2014</v>
      </c>
      <c r="E10" s="528" t="s">
        <v>257</v>
      </c>
      <c r="F10" s="530">
        <v>12</v>
      </c>
      <c r="G10" s="531">
        <v>24.99</v>
      </c>
      <c r="H10" s="532">
        <v>12</v>
      </c>
      <c r="I10" s="533" t="s">
        <v>305</v>
      </c>
    </row>
    <row r="11" spans="1:9" ht="15">
      <c r="A11" s="465">
        <v>1</v>
      </c>
      <c r="B11" s="527" t="s">
        <v>415</v>
      </c>
      <c r="C11" s="528" t="s">
        <v>416</v>
      </c>
      <c r="D11" s="529">
        <v>1996</v>
      </c>
      <c r="E11" s="528" t="s">
        <v>257</v>
      </c>
      <c r="F11" s="530">
        <v>2.6</v>
      </c>
      <c r="G11" s="531">
        <v>24.99</v>
      </c>
      <c r="H11" s="532">
        <v>2.6</v>
      </c>
      <c r="I11" s="533" t="s">
        <v>305</v>
      </c>
    </row>
    <row r="12" spans="1:9" ht="15">
      <c r="A12" s="465">
        <v>1</v>
      </c>
      <c r="B12" s="527" t="s">
        <v>65</v>
      </c>
      <c r="C12" s="528" t="s">
        <v>417</v>
      </c>
      <c r="D12" s="529">
        <v>2001</v>
      </c>
      <c r="E12" s="528" t="s">
        <v>257</v>
      </c>
      <c r="F12" s="530">
        <v>26.400000000000002</v>
      </c>
      <c r="G12" s="531">
        <v>24.99</v>
      </c>
      <c r="H12" s="532">
        <v>26.400000000000002</v>
      </c>
      <c r="I12" s="533" t="s">
        <v>305</v>
      </c>
    </row>
    <row r="13" spans="1:9" ht="15">
      <c r="A13" s="465">
        <v>1</v>
      </c>
      <c r="B13" s="527" t="s">
        <v>418</v>
      </c>
      <c r="C13" s="528" t="s">
        <v>417</v>
      </c>
      <c r="D13" s="529">
        <v>2004</v>
      </c>
      <c r="E13" s="528" t="s">
        <v>257</v>
      </c>
      <c r="F13" s="530">
        <v>15.84</v>
      </c>
      <c r="G13" s="531">
        <v>24.99</v>
      </c>
      <c r="H13" s="532">
        <v>15.84</v>
      </c>
      <c r="I13" s="533" t="s">
        <v>305</v>
      </c>
    </row>
    <row r="14" spans="1:9" ht="15">
      <c r="A14" s="465">
        <v>1</v>
      </c>
      <c r="B14" s="527" t="s">
        <v>15</v>
      </c>
      <c r="C14" s="528" t="s">
        <v>416</v>
      </c>
      <c r="D14" s="529">
        <v>1999</v>
      </c>
      <c r="E14" s="528" t="s">
        <v>257</v>
      </c>
      <c r="F14" s="530">
        <v>3.15</v>
      </c>
      <c r="G14" s="531">
        <v>24.99</v>
      </c>
      <c r="H14" s="532">
        <v>3.15</v>
      </c>
      <c r="I14" s="533" t="s">
        <v>305</v>
      </c>
    </row>
    <row r="15" spans="1:9" ht="15">
      <c r="A15" s="465">
        <v>1</v>
      </c>
      <c r="B15" s="527" t="s">
        <v>17</v>
      </c>
      <c r="C15" s="528" t="s">
        <v>416</v>
      </c>
      <c r="D15" s="529">
        <v>2001</v>
      </c>
      <c r="E15" s="528" t="s">
        <v>257</v>
      </c>
      <c r="F15" s="530">
        <v>4.2</v>
      </c>
      <c r="G15" s="531">
        <v>24.99</v>
      </c>
      <c r="H15" s="532">
        <v>4.2</v>
      </c>
      <c r="I15" s="533" t="s">
        <v>305</v>
      </c>
    </row>
    <row r="16" spans="1:9" ht="15">
      <c r="A16" s="465">
        <v>1</v>
      </c>
      <c r="B16" s="527" t="s">
        <v>419</v>
      </c>
      <c r="C16" s="528" t="s">
        <v>416</v>
      </c>
      <c r="D16" s="529">
        <v>2002</v>
      </c>
      <c r="E16" s="528" t="s">
        <v>257</v>
      </c>
      <c r="F16" s="530">
        <v>14.4</v>
      </c>
      <c r="G16" s="531">
        <v>24.99</v>
      </c>
      <c r="H16" s="532">
        <v>14.4</v>
      </c>
      <c r="I16" s="533" t="s">
        <v>305</v>
      </c>
    </row>
    <row r="17" spans="1:9" ht="15">
      <c r="A17" s="465">
        <v>1</v>
      </c>
      <c r="B17" s="527" t="s">
        <v>420</v>
      </c>
      <c r="C17" s="528" t="s">
        <v>416</v>
      </c>
      <c r="D17" s="529">
        <v>2005</v>
      </c>
      <c r="E17" s="528" t="s">
        <v>257</v>
      </c>
      <c r="F17" s="530">
        <v>12</v>
      </c>
      <c r="G17" s="531">
        <v>24.99</v>
      </c>
      <c r="H17" s="532">
        <v>12</v>
      </c>
      <c r="I17" s="533" t="s">
        <v>305</v>
      </c>
    </row>
    <row r="18" spans="1:9" ht="15">
      <c r="A18" s="465">
        <v>1</v>
      </c>
      <c r="B18" s="527" t="s">
        <v>288</v>
      </c>
      <c r="C18" s="528" t="s">
        <v>414</v>
      </c>
      <c r="D18" s="529">
        <v>2001</v>
      </c>
      <c r="E18" s="528" t="s">
        <v>257</v>
      </c>
      <c r="F18" s="530">
        <v>6.6</v>
      </c>
      <c r="G18" s="531">
        <v>24.99</v>
      </c>
      <c r="H18" s="532">
        <v>6.6</v>
      </c>
      <c r="I18" s="533" t="s">
        <v>305</v>
      </c>
    </row>
    <row r="19" spans="1:9" ht="15">
      <c r="A19" s="465">
        <v>1</v>
      </c>
      <c r="B19" s="527" t="s">
        <v>16</v>
      </c>
      <c r="C19" s="528" t="s">
        <v>414</v>
      </c>
      <c r="D19" s="529">
        <v>2001</v>
      </c>
      <c r="E19" s="528" t="s">
        <v>257</v>
      </c>
      <c r="F19" s="530">
        <v>9.6</v>
      </c>
      <c r="G19" s="531">
        <v>24.99</v>
      </c>
      <c r="H19" s="532">
        <v>9.6</v>
      </c>
      <c r="I19" s="533" t="s">
        <v>305</v>
      </c>
    </row>
    <row r="20" spans="1:9" ht="15">
      <c r="A20" s="465">
        <v>1</v>
      </c>
      <c r="B20" s="527" t="s">
        <v>421</v>
      </c>
      <c r="C20" s="528" t="s">
        <v>414</v>
      </c>
      <c r="D20" s="529">
        <v>2011</v>
      </c>
      <c r="E20" s="528" t="s">
        <v>257</v>
      </c>
      <c r="F20" s="530">
        <v>17</v>
      </c>
      <c r="G20" s="531">
        <v>24.99</v>
      </c>
      <c r="H20" s="532">
        <v>17</v>
      </c>
      <c r="I20" s="533" t="s">
        <v>305</v>
      </c>
    </row>
    <row r="21" spans="1:9" ht="15">
      <c r="A21" s="465">
        <v>1</v>
      </c>
      <c r="B21" s="527" t="s">
        <v>422</v>
      </c>
      <c r="C21" s="528" t="s">
        <v>417</v>
      </c>
      <c r="D21" s="529">
        <v>2002</v>
      </c>
      <c r="E21" s="528" t="s">
        <v>257</v>
      </c>
      <c r="F21" s="530">
        <v>9</v>
      </c>
      <c r="G21" s="531">
        <v>24.99</v>
      </c>
      <c r="H21" s="532">
        <v>9</v>
      </c>
      <c r="I21" s="533" t="s">
        <v>305</v>
      </c>
    </row>
    <row r="22" spans="1:9" ht="15">
      <c r="A22" s="465">
        <v>1</v>
      </c>
      <c r="B22" s="527" t="s">
        <v>173</v>
      </c>
      <c r="C22" s="528" t="s">
        <v>423</v>
      </c>
      <c r="D22" s="529">
        <v>2008</v>
      </c>
      <c r="E22" s="528" t="s">
        <v>257</v>
      </c>
      <c r="F22" s="530">
        <v>34</v>
      </c>
      <c r="G22" s="531">
        <v>24.99</v>
      </c>
      <c r="H22" s="532">
        <v>34</v>
      </c>
      <c r="I22" s="533" t="s">
        <v>305</v>
      </c>
    </row>
    <row r="23" spans="1:9" ht="15">
      <c r="A23" s="465">
        <v>1</v>
      </c>
      <c r="B23" s="527" t="s">
        <v>424</v>
      </c>
      <c r="C23" s="528" t="s">
        <v>425</v>
      </c>
      <c r="D23" s="529">
        <v>2010</v>
      </c>
      <c r="E23" s="528" t="s">
        <v>257</v>
      </c>
      <c r="F23" s="530">
        <v>26</v>
      </c>
      <c r="G23" s="531">
        <v>24.99</v>
      </c>
      <c r="H23" s="532">
        <v>26</v>
      </c>
      <c r="I23" s="533" t="s">
        <v>305</v>
      </c>
    </row>
    <row r="24" spans="1:9" ht="15">
      <c r="A24" s="465">
        <v>1</v>
      </c>
      <c r="B24" s="527" t="s">
        <v>426</v>
      </c>
      <c r="C24" s="528" t="s">
        <v>425</v>
      </c>
      <c r="D24" s="529">
        <v>2009</v>
      </c>
      <c r="E24" s="528" t="s">
        <v>257</v>
      </c>
      <c r="F24" s="530">
        <v>50</v>
      </c>
      <c r="G24" s="531">
        <v>24.99</v>
      </c>
      <c r="H24" s="532">
        <v>50</v>
      </c>
      <c r="I24" s="533" t="s">
        <v>305</v>
      </c>
    </row>
    <row r="25" spans="1:9" ht="15">
      <c r="A25" s="465">
        <v>1</v>
      </c>
      <c r="B25" s="527" t="s">
        <v>220</v>
      </c>
      <c r="C25" s="528" t="s">
        <v>427</v>
      </c>
      <c r="D25" s="529">
        <v>2010</v>
      </c>
      <c r="E25" s="528" t="s">
        <v>257</v>
      </c>
      <c r="F25" s="530">
        <v>30</v>
      </c>
      <c r="G25" s="531">
        <v>24.99</v>
      </c>
      <c r="H25" s="532">
        <v>30</v>
      </c>
      <c r="I25" s="533" t="s">
        <v>305</v>
      </c>
    </row>
    <row r="26" spans="1:9" ht="15">
      <c r="A26" s="465">
        <v>1</v>
      </c>
      <c r="B26" s="527" t="s">
        <v>428</v>
      </c>
      <c r="C26" s="528" t="s">
        <v>417</v>
      </c>
      <c r="D26" s="529">
        <v>2001</v>
      </c>
      <c r="E26" s="528" t="s">
        <v>257</v>
      </c>
      <c r="F26" s="530">
        <v>9.6</v>
      </c>
      <c r="G26" s="531">
        <v>24.99</v>
      </c>
      <c r="H26" s="532">
        <v>9.6</v>
      </c>
      <c r="I26" s="533" t="s">
        <v>305</v>
      </c>
    </row>
    <row r="27" spans="1:9" ht="15">
      <c r="A27" s="465">
        <v>1</v>
      </c>
      <c r="B27" s="527" t="s">
        <v>429</v>
      </c>
      <c r="C27" s="528" t="s">
        <v>417</v>
      </c>
      <c r="D27" s="529">
        <v>2002</v>
      </c>
      <c r="E27" s="528" t="s">
        <v>257</v>
      </c>
      <c r="F27" s="530">
        <v>24.599999999999994</v>
      </c>
      <c r="G27" s="531">
        <v>24.99</v>
      </c>
      <c r="H27" s="532">
        <v>24.599999999999994</v>
      </c>
      <c r="I27" s="533" t="s">
        <v>305</v>
      </c>
    </row>
    <row r="28" spans="1:9" ht="15">
      <c r="A28" s="465">
        <v>1</v>
      </c>
      <c r="B28" s="527" t="s">
        <v>430</v>
      </c>
      <c r="C28" s="528" t="s">
        <v>431</v>
      </c>
      <c r="D28" s="529">
        <v>2001</v>
      </c>
      <c r="E28" s="528" t="s">
        <v>257</v>
      </c>
      <c r="F28" s="534">
        <v>1.8</v>
      </c>
      <c r="G28" s="531">
        <v>24.99</v>
      </c>
      <c r="H28" s="532">
        <v>1.8</v>
      </c>
      <c r="I28" s="533" t="s">
        <v>305</v>
      </c>
    </row>
    <row r="29" spans="1:9" ht="15">
      <c r="A29" s="465">
        <v>1</v>
      </c>
      <c r="B29" s="527" t="s">
        <v>432</v>
      </c>
      <c r="C29" s="528" t="s">
        <v>416</v>
      </c>
      <c r="D29" s="529">
        <v>2001</v>
      </c>
      <c r="E29" s="528" t="s">
        <v>257</v>
      </c>
      <c r="F29" s="534">
        <v>18</v>
      </c>
      <c r="G29" s="535">
        <v>24.99</v>
      </c>
      <c r="H29" s="536">
        <v>18</v>
      </c>
      <c r="I29" s="533" t="s">
        <v>305</v>
      </c>
    </row>
    <row r="30" spans="1:9" ht="15">
      <c r="A30" s="465">
        <v>1</v>
      </c>
      <c r="B30" s="527" t="s">
        <v>433</v>
      </c>
      <c r="C30" s="528" t="s">
        <v>416</v>
      </c>
      <c r="D30" s="529">
        <v>2012</v>
      </c>
      <c r="E30" s="528" t="s">
        <v>257</v>
      </c>
      <c r="F30" s="534">
        <v>38</v>
      </c>
      <c r="G30" s="535">
        <v>24.99</v>
      </c>
      <c r="H30" s="536">
        <v>38</v>
      </c>
      <c r="I30" s="533" t="s">
        <v>305</v>
      </c>
    </row>
    <row r="31" spans="1:9" ht="15">
      <c r="A31" s="465">
        <v>1</v>
      </c>
      <c r="B31" s="527" t="s">
        <v>202</v>
      </c>
      <c r="C31" s="528" t="s">
        <v>423</v>
      </c>
      <c r="D31" s="529">
        <v>2005</v>
      </c>
      <c r="E31" s="528" t="s">
        <v>257</v>
      </c>
      <c r="F31" s="534">
        <v>15.84</v>
      </c>
      <c r="G31" s="535">
        <v>24.99</v>
      </c>
      <c r="H31" s="536">
        <v>15.84</v>
      </c>
      <c r="I31" s="533" t="s">
        <v>305</v>
      </c>
    </row>
    <row r="32" spans="1:9" ht="15">
      <c r="A32" s="465">
        <v>1</v>
      </c>
      <c r="B32" s="527" t="s">
        <v>266</v>
      </c>
      <c r="C32" s="528" t="s">
        <v>417</v>
      </c>
      <c r="D32" s="529">
        <v>2001</v>
      </c>
      <c r="E32" s="528" t="s">
        <v>257</v>
      </c>
      <c r="F32" s="534">
        <v>13.799999999999997</v>
      </c>
      <c r="G32" s="535">
        <v>24.99</v>
      </c>
      <c r="H32" s="536">
        <v>13.799999999999997</v>
      </c>
      <c r="I32" s="533" t="s">
        <v>305</v>
      </c>
    </row>
    <row r="33" spans="1:9" ht="15">
      <c r="A33" s="465">
        <v>1</v>
      </c>
      <c r="B33" s="527" t="s">
        <v>434</v>
      </c>
      <c r="C33" s="528" t="s">
        <v>416</v>
      </c>
      <c r="D33" s="529">
        <v>2000</v>
      </c>
      <c r="E33" s="528" t="s">
        <v>257</v>
      </c>
      <c r="F33" s="534">
        <v>5.25</v>
      </c>
      <c r="G33" s="535">
        <v>24.99</v>
      </c>
      <c r="H33" s="536">
        <v>5.25</v>
      </c>
      <c r="I33" s="533" t="s">
        <v>305</v>
      </c>
    </row>
    <row r="34" spans="1:9" ht="15">
      <c r="A34" s="465">
        <v>1</v>
      </c>
      <c r="B34" s="527" t="s">
        <v>435</v>
      </c>
      <c r="C34" s="528" t="s">
        <v>417</v>
      </c>
      <c r="D34" s="529">
        <v>2002</v>
      </c>
      <c r="E34" s="528" t="s">
        <v>257</v>
      </c>
      <c r="F34" s="534">
        <v>6</v>
      </c>
      <c r="G34" s="535">
        <v>24.99</v>
      </c>
      <c r="H34" s="536">
        <v>6</v>
      </c>
      <c r="I34" s="533" t="s">
        <v>305</v>
      </c>
    </row>
    <row r="35" spans="1:9" ht="15">
      <c r="A35" s="465">
        <v>1</v>
      </c>
      <c r="B35" s="527" t="s">
        <v>436</v>
      </c>
      <c r="C35" s="528" t="s">
        <v>437</v>
      </c>
      <c r="D35" s="529">
        <v>1998</v>
      </c>
      <c r="E35" s="528" t="s">
        <v>257</v>
      </c>
      <c r="F35" s="534">
        <v>3.4</v>
      </c>
      <c r="G35" s="535">
        <v>24.99</v>
      </c>
      <c r="H35" s="536">
        <v>3.4</v>
      </c>
      <c r="I35" s="533" t="s">
        <v>305</v>
      </c>
    </row>
    <row r="36" spans="1:9" ht="15">
      <c r="A36" s="465">
        <v>1</v>
      </c>
      <c r="B36" s="527" t="s">
        <v>438</v>
      </c>
      <c r="C36" s="528" t="s">
        <v>414</v>
      </c>
      <c r="D36" s="529">
        <v>2011</v>
      </c>
      <c r="E36" s="528" t="s">
        <v>257</v>
      </c>
      <c r="F36" s="534">
        <v>54</v>
      </c>
      <c r="G36" s="535">
        <v>24.99</v>
      </c>
      <c r="H36" s="536">
        <v>54</v>
      </c>
      <c r="I36" s="533" t="s">
        <v>305</v>
      </c>
    </row>
    <row r="37" spans="1:9" ht="15">
      <c r="A37" s="465">
        <v>1</v>
      </c>
      <c r="B37" s="527" t="s">
        <v>439</v>
      </c>
      <c r="C37" s="528" t="s">
        <v>417</v>
      </c>
      <c r="D37" s="529">
        <v>2001</v>
      </c>
      <c r="E37" s="528" t="s">
        <v>257</v>
      </c>
      <c r="F37" s="534">
        <v>9</v>
      </c>
      <c r="G37" s="535">
        <v>24.99</v>
      </c>
      <c r="H37" s="536">
        <v>9</v>
      </c>
      <c r="I37" s="533" t="s">
        <v>305</v>
      </c>
    </row>
    <row r="38" spans="1:9" ht="15">
      <c r="A38" s="465">
        <v>1</v>
      </c>
      <c r="B38" s="527" t="s">
        <v>203</v>
      </c>
      <c r="C38" s="528" t="s">
        <v>414</v>
      </c>
      <c r="D38" s="529">
        <v>2007</v>
      </c>
      <c r="E38" s="528" t="s">
        <v>257</v>
      </c>
      <c r="F38" s="534">
        <v>10.02</v>
      </c>
      <c r="G38" s="535">
        <v>24.99</v>
      </c>
      <c r="H38" s="536">
        <v>10.02</v>
      </c>
      <c r="I38" s="533" t="s">
        <v>305</v>
      </c>
    </row>
    <row r="39" spans="1:9" ht="15">
      <c r="A39" s="465">
        <v>1</v>
      </c>
      <c r="B39" s="527" t="s">
        <v>440</v>
      </c>
      <c r="C39" s="528" t="s">
        <v>441</v>
      </c>
      <c r="D39" s="529">
        <v>2003</v>
      </c>
      <c r="E39" s="528" t="s">
        <v>257</v>
      </c>
      <c r="F39" s="530">
        <v>12.3</v>
      </c>
      <c r="G39" s="531">
        <v>24.99</v>
      </c>
      <c r="H39" s="532">
        <v>12.3</v>
      </c>
      <c r="I39" s="533" t="s">
        <v>305</v>
      </c>
    </row>
    <row r="40" spans="1:9" ht="15">
      <c r="A40" s="465">
        <v>1</v>
      </c>
      <c r="B40" s="527" t="s">
        <v>442</v>
      </c>
      <c r="C40" s="528" t="s">
        <v>416</v>
      </c>
      <c r="D40" s="529">
        <v>2001</v>
      </c>
      <c r="E40" s="528" t="s">
        <v>257</v>
      </c>
      <c r="F40" s="530">
        <v>11.4</v>
      </c>
      <c r="G40" s="531">
        <v>24.99</v>
      </c>
      <c r="H40" s="532">
        <v>11.4</v>
      </c>
      <c r="I40" s="533" t="s">
        <v>305</v>
      </c>
    </row>
    <row r="41" spans="1:9" ht="15">
      <c r="A41" s="465">
        <v>1</v>
      </c>
      <c r="B41" s="527" t="s">
        <v>66</v>
      </c>
      <c r="C41" s="528" t="s">
        <v>416</v>
      </c>
      <c r="D41" s="529">
        <v>2004</v>
      </c>
      <c r="E41" s="528" t="s">
        <v>257</v>
      </c>
      <c r="F41" s="530">
        <v>13.08</v>
      </c>
      <c r="G41" s="531">
        <v>24.99</v>
      </c>
      <c r="H41" s="532">
        <v>13.08</v>
      </c>
      <c r="I41" s="533" t="s">
        <v>305</v>
      </c>
    </row>
    <row r="42" spans="1:9" ht="15">
      <c r="A42" s="465"/>
      <c r="B42" s="527"/>
      <c r="C42" s="528"/>
      <c r="D42" s="528"/>
      <c r="E42" s="528"/>
      <c r="F42" s="530"/>
      <c r="G42" s="531"/>
      <c r="H42" s="537"/>
      <c r="I42" s="533"/>
    </row>
    <row r="43" spans="1:9" ht="15.75" thickBot="1">
      <c r="A43" s="465"/>
      <c r="B43" s="481"/>
      <c r="C43" s="483"/>
      <c r="D43" s="483"/>
      <c r="E43" s="482"/>
      <c r="F43" s="729"/>
      <c r="G43" s="730"/>
      <c r="H43" s="731"/>
      <c r="I43" s="538"/>
    </row>
    <row r="44" spans="1:9" ht="22.5" thickBot="1" thickTop="1">
      <c r="A44" s="539">
        <v>33</v>
      </c>
      <c r="B44" s="725" t="s">
        <v>267</v>
      </c>
      <c r="C44" s="725"/>
      <c r="D44" s="725"/>
      <c r="E44" s="726"/>
      <c r="F44" s="572">
        <v>588.8799999999999</v>
      </c>
      <c r="G44" s="727"/>
      <c r="H44" s="728">
        <v>588.8799999999999</v>
      </c>
      <c r="I44" s="543"/>
    </row>
    <row r="45" spans="5:9" ht="15.75" thickTop="1">
      <c r="E45" s="455"/>
      <c r="F45" s="544"/>
      <c r="G45" s="545"/>
      <c r="H45" s="546"/>
      <c r="I45" s="547"/>
    </row>
    <row r="46" spans="6:9" ht="15.75" thickBot="1">
      <c r="F46" s="550"/>
      <c r="G46" s="551"/>
      <c r="H46" s="552"/>
      <c r="I46" s="553"/>
    </row>
    <row r="47" spans="1:9" ht="15.75" thickBot="1">
      <c r="A47" s="463"/>
      <c r="B47" s="741" t="s">
        <v>350</v>
      </c>
      <c r="C47" s="740"/>
      <c r="D47" s="554"/>
      <c r="E47" s="458"/>
      <c r="F47" s="555"/>
      <c r="G47" s="556"/>
      <c r="H47" s="557"/>
      <c r="I47" s="558"/>
    </row>
    <row r="48" spans="1:9" ht="15">
      <c r="A48" s="465"/>
      <c r="B48" s="480"/>
      <c r="C48" s="468"/>
      <c r="D48" s="468"/>
      <c r="E48" s="468"/>
      <c r="F48" s="559"/>
      <c r="G48" s="560"/>
      <c r="H48" s="561"/>
      <c r="I48" s="562"/>
    </row>
    <row r="49" spans="1:9" ht="15">
      <c r="A49" s="465">
        <v>1</v>
      </c>
      <c r="B49" s="480" t="s">
        <v>204</v>
      </c>
      <c r="C49" s="528" t="s">
        <v>425</v>
      </c>
      <c r="D49" s="529">
        <v>2008</v>
      </c>
      <c r="E49" s="528" t="s">
        <v>48</v>
      </c>
      <c r="F49" s="563">
        <v>3.3</v>
      </c>
      <c r="G49" s="531">
        <v>100</v>
      </c>
      <c r="H49" s="564">
        <v>3.3</v>
      </c>
      <c r="I49" s="565" t="s">
        <v>305</v>
      </c>
    </row>
    <row r="50" spans="1:9" ht="15">
      <c r="A50" s="465">
        <v>1</v>
      </c>
      <c r="B50" s="480" t="s">
        <v>236</v>
      </c>
      <c r="C50" s="468" t="s">
        <v>443</v>
      </c>
      <c r="D50" s="467">
        <v>2011</v>
      </c>
      <c r="E50" s="528" t="s">
        <v>48</v>
      </c>
      <c r="F50" s="563">
        <v>1</v>
      </c>
      <c r="G50" s="531">
        <v>100</v>
      </c>
      <c r="H50" s="564">
        <v>1</v>
      </c>
      <c r="I50" s="565" t="s">
        <v>305</v>
      </c>
    </row>
    <row r="51" spans="1:9" ht="15">
      <c r="A51" s="465">
        <v>1</v>
      </c>
      <c r="B51" s="480" t="s">
        <v>237</v>
      </c>
      <c r="C51" s="468" t="s">
        <v>444</v>
      </c>
      <c r="D51" s="467">
        <v>2011</v>
      </c>
      <c r="E51" s="528" t="s">
        <v>257</v>
      </c>
      <c r="F51" s="563">
        <v>3</v>
      </c>
      <c r="G51" s="566">
        <v>24.99</v>
      </c>
      <c r="H51" s="564">
        <v>3</v>
      </c>
      <c r="I51" s="565" t="s">
        <v>305</v>
      </c>
    </row>
    <row r="52" spans="1:9" ht="15">
      <c r="A52" s="465">
        <v>1</v>
      </c>
      <c r="B52" s="480" t="s">
        <v>238</v>
      </c>
      <c r="C52" s="468" t="s">
        <v>444</v>
      </c>
      <c r="D52" s="467">
        <v>2011</v>
      </c>
      <c r="E52" s="528" t="s">
        <v>257</v>
      </c>
      <c r="F52" s="563">
        <v>1</v>
      </c>
      <c r="G52" s="566">
        <v>24.99</v>
      </c>
      <c r="H52" s="564">
        <v>1</v>
      </c>
      <c r="I52" s="565" t="s">
        <v>305</v>
      </c>
    </row>
    <row r="53" spans="1:9" ht="15">
      <c r="A53" s="465">
        <v>1</v>
      </c>
      <c r="B53" s="480" t="s">
        <v>239</v>
      </c>
      <c r="C53" s="528" t="s">
        <v>423</v>
      </c>
      <c r="D53" s="529">
        <v>2011</v>
      </c>
      <c r="E53" s="528" t="s">
        <v>257</v>
      </c>
      <c r="F53" s="563">
        <v>1</v>
      </c>
      <c r="G53" s="566">
        <v>24.99</v>
      </c>
      <c r="H53" s="564">
        <v>1</v>
      </c>
      <c r="I53" s="565" t="s">
        <v>305</v>
      </c>
    </row>
    <row r="54" spans="1:9" ht="15">
      <c r="A54" s="465"/>
      <c r="B54" s="480"/>
      <c r="C54" s="528"/>
      <c r="D54" s="529"/>
      <c r="E54" s="528"/>
      <c r="F54" s="563"/>
      <c r="G54" s="566"/>
      <c r="H54" s="561"/>
      <c r="I54" s="565"/>
    </row>
    <row r="55" spans="1:9" ht="15">
      <c r="A55" s="465">
        <v>1</v>
      </c>
      <c r="B55" s="480" t="s">
        <v>179</v>
      </c>
      <c r="C55" s="468" t="s">
        <v>445</v>
      </c>
      <c r="D55" s="467">
        <v>2011</v>
      </c>
      <c r="E55" s="528" t="s">
        <v>199</v>
      </c>
      <c r="F55" s="563">
        <v>6</v>
      </c>
      <c r="G55" s="566">
        <v>86.12</v>
      </c>
      <c r="H55" s="561">
        <v>6</v>
      </c>
      <c r="I55" s="565" t="s">
        <v>305</v>
      </c>
    </row>
    <row r="56" spans="1:9" ht="15.75" thickBot="1">
      <c r="A56" s="465"/>
      <c r="B56" s="480"/>
      <c r="C56" s="483"/>
      <c r="D56" s="483"/>
      <c r="E56" s="548"/>
      <c r="F56" s="567"/>
      <c r="G56" s="568"/>
      <c r="H56" s="561"/>
      <c r="I56" s="569"/>
    </row>
    <row r="57" spans="1:9" ht="22.5" thickBot="1" thickTop="1">
      <c r="A57" s="549">
        <v>6</v>
      </c>
      <c r="B57" s="570" t="s">
        <v>351</v>
      </c>
      <c r="C57" s="571"/>
      <c r="D57" s="571"/>
      <c r="E57" s="571"/>
      <c r="F57" s="572">
        <v>15.3</v>
      </c>
      <c r="G57" s="571"/>
      <c r="H57" s="573">
        <v>15.3</v>
      </c>
      <c r="I57" s="574"/>
    </row>
    <row r="58" ht="16.5" thickBot="1" thickTop="1">
      <c r="F58" s="575"/>
    </row>
    <row r="59" spans="2:8" ht="15.75" thickBot="1">
      <c r="B59" s="576" t="s">
        <v>352</v>
      </c>
      <c r="C59" s="540"/>
      <c r="D59" s="540"/>
      <c r="E59" s="540"/>
      <c r="F59" s="577">
        <v>604.1799999999998</v>
      </c>
      <c r="G59" s="540"/>
      <c r="H59" s="578">
        <v>604.1799999999998</v>
      </c>
    </row>
    <row r="61" spans="2:4" ht="15">
      <c r="B61" s="579"/>
      <c r="C61" s="579"/>
      <c r="D61" s="579"/>
    </row>
  </sheetData>
  <sheetProtection/>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2:N81"/>
  <sheetViews>
    <sheetView zoomScalePageLayoutView="0" workbookViewId="0" topLeftCell="A1">
      <selection activeCell="K80" sqref="K80"/>
    </sheetView>
  </sheetViews>
  <sheetFormatPr defaultColWidth="9.140625" defaultRowHeight="12.75"/>
  <cols>
    <col min="1" max="1" width="7.57421875" style="167" customWidth="1"/>
    <col min="2" max="2" width="23.140625" style="167" bestFit="1" customWidth="1"/>
    <col min="3" max="3" width="29.421875" style="167" bestFit="1" customWidth="1"/>
    <col min="4" max="4" width="10.7109375" style="167" bestFit="1" customWidth="1"/>
    <col min="5" max="5" width="26.140625" style="167" bestFit="1" customWidth="1"/>
    <col min="6" max="7" width="15.421875" style="167" customWidth="1"/>
    <col min="8" max="8" width="10.8515625" style="167" bestFit="1" customWidth="1"/>
    <col min="9" max="9" width="12.421875" style="167" customWidth="1"/>
    <col min="10" max="13" width="14.00390625" style="167" customWidth="1"/>
    <col min="14" max="16384" width="9.140625" style="167" customWidth="1"/>
  </cols>
  <sheetData>
    <row r="2" ht="15.75">
      <c r="A2" s="389" t="s">
        <v>601</v>
      </c>
    </row>
    <row r="3" spans="1:13" s="392" customFormat="1" ht="15">
      <c r="A3" s="393"/>
      <c r="J3" s="394"/>
      <c r="K3" s="393"/>
      <c r="L3" s="394"/>
      <c r="M3" s="394"/>
    </row>
    <row r="4" spans="1:13" s="392" customFormat="1" ht="15.75">
      <c r="A4" s="580" t="s">
        <v>548</v>
      </c>
      <c r="J4" s="394"/>
      <c r="K4" s="393"/>
      <c r="L4" s="394"/>
      <c r="M4" s="394"/>
    </row>
    <row r="5" spans="1:13" s="392" customFormat="1" ht="15">
      <c r="A5" s="393"/>
      <c r="B5" s="581" t="s">
        <v>446</v>
      </c>
      <c r="J5" s="394"/>
      <c r="K5" s="393"/>
      <c r="L5" s="394"/>
      <c r="M5" s="394"/>
    </row>
    <row r="6" spans="1:13" s="392" customFormat="1" ht="15.75" thickBot="1">
      <c r="A6" s="393"/>
      <c r="J6" s="394"/>
      <c r="K6" s="393"/>
      <c r="L6" s="394"/>
      <c r="M6" s="394"/>
    </row>
    <row r="7" spans="1:14" s="395" customFormat="1" ht="79.5" customHeight="1" thickBot="1">
      <c r="A7" s="582" t="s">
        <v>354</v>
      </c>
      <c r="B7" s="680" t="s">
        <v>4</v>
      </c>
      <c r="C7" s="682" t="s">
        <v>43</v>
      </c>
      <c r="D7" s="682" t="s">
        <v>5</v>
      </c>
      <c r="E7" s="682" t="s">
        <v>44</v>
      </c>
      <c r="F7" s="682" t="s">
        <v>19</v>
      </c>
      <c r="G7" s="682" t="s">
        <v>45</v>
      </c>
      <c r="H7" s="682" t="s">
        <v>46</v>
      </c>
      <c r="I7" s="682" t="s">
        <v>295</v>
      </c>
      <c r="J7" s="671" t="s">
        <v>296</v>
      </c>
      <c r="K7" s="681" t="s">
        <v>297</v>
      </c>
      <c r="L7" s="666" t="s">
        <v>298</v>
      </c>
      <c r="N7" s="393"/>
    </row>
    <row r="8" spans="1:12" s="450" customFormat="1" ht="15.75" thickBot="1">
      <c r="A8" s="455"/>
      <c r="B8" s="452"/>
      <c r="C8" s="521"/>
      <c r="D8" s="521"/>
      <c r="E8" s="452"/>
      <c r="F8" s="521"/>
      <c r="I8" s="521"/>
      <c r="J8" s="583"/>
      <c r="K8" s="523"/>
      <c r="L8" s="523"/>
    </row>
    <row r="9" spans="1:12" s="392" customFormat="1" ht="15">
      <c r="A9" s="393"/>
      <c r="B9" s="584"/>
      <c r="C9" s="585"/>
      <c r="D9" s="586"/>
      <c r="E9" s="585"/>
      <c r="F9" s="585"/>
      <c r="G9" s="585"/>
      <c r="H9" s="585"/>
      <c r="I9" s="586"/>
      <c r="J9" s="587"/>
      <c r="K9" s="397"/>
      <c r="L9" s="398"/>
    </row>
    <row r="10" spans="1:12" s="392" customFormat="1" ht="15">
      <c r="A10" s="393">
        <v>1</v>
      </c>
      <c r="B10" s="439" t="s">
        <v>447</v>
      </c>
      <c r="C10" s="393" t="s">
        <v>448</v>
      </c>
      <c r="D10" s="588">
        <v>41914</v>
      </c>
      <c r="E10" s="589" t="s">
        <v>260</v>
      </c>
      <c r="F10" s="393"/>
      <c r="G10" s="393" t="s">
        <v>549</v>
      </c>
      <c r="H10" s="393" t="s">
        <v>450</v>
      </c>
      <c r="I10" s="590">
        <v>2.004</v>
      </c>
      <c r="J10" s="591">
        <v>100</v>
      </c>
      <c r="K10" s="592">
        <f>+I10*J10/100</f>
        <v>2.004</v>
      </c>
      <c r="L10" s="405" t="s">
        <v>299</v>
      </c>
    </row>
    <row r="11" spans="1:12" s="392" customFormat="1" ht="15">
      <c r="A11" s="393">
        <v>1</v>
      </c>
      <c r="B11" s="439" t="s">
        <v>451</v>
      </c>
      <c r="C11" s="393" t="s">
        <v>452</v>
      </c>
      <c r="D11" s="588">
        <v>42704</v>
      </c>
      <c r="E11" s="589" t="s">
        <v>260</v>
      </c>
      <c r="F11" s="393"/>
      <c r="G11" s="393" t="s">
        <v>549</v>
      </c>
      <c r="H11" s="393" t="s">
        <v>450</v>
      </c>
      <c r="I11" s="590">
        <v>1.287</v>
      </c>
      <c r="J11" s="591">
        <v>100</v>
      </c>
      <c r="K11" s="592">
        <f aca="true" t="shared" si="0" ref="K11:K21">+I11*J11/100</f>
        <v>1.287</v>
      </c>
      <c r="L11" s="405" t="s">
        <v>299</v>
      </c>
    </row>
    <row r="12" spans="1:12" s="392" customFormat="1" ht="15">
      <c r="A12" s="393">
        <v>1</v>
      </c>
      <c r="B12" s="439" t="s">
        <v>453</v>
      </c>
      <c r="C12" s="393" t="s">
        <v>454</v>
      </c>
      <c r="D12" s="588">
        <v>42656</v>
      </c>
      <c r="E12" s="589" t="s">
        <v>260</v>
      </c>
      <c r="F12" s="393"/>
      <c r="G12" s="393" t="s">
        <v>549</v>
      </c>
      <c r="H12" s="393" t="s">
        <v>450</v>
      </c>
      <c r="I12" s="590">
        <v>4.404</v>
      </c>
      <c r="J12" s="591">
        <v>100</v>
      </c>
      <c r="K12" s="592">
        <f t="shared" si="0"/>
        <v>4.404</v>
      </c>
      <c r="L12" s="405" t="s">
        <v>299</v>
      </c>
    </row>
    <row r="13" spans="1:12" s="392" customFormat="1" ht="15">
      <c r="A13" s="393">
        <v>1</v>
      </c>
      <c r="B13" s="439" t="s">
        <v>455</v>
      </c>
      <c r="C13" s="393" t="s">
        <v>456</v>
      </c>
      <c r="D13" s="393">
        <v>2010</v>
      </c>
      <c r="E13" s="589" t="s">
        <v>457</v>
      </c>
      <c r="F13" s="393" t="s">
        <v>449</v>
      </c>
      <c r="G13" s="393" t="s">
        <v>549</v>
      </c>
      <c r="H13" s="393" t="s">
        <v>458</v>
      </c>
      <c r="I13" s="593">
        <v>3.7</v>
      </c>
      <c r="J13" s="591">
        <v>100</v>
      </c>
      <c r="K13" s="404">
        <f t="shared" si="0"/>
        <v>3.7</v>
      </c>
      <c r="L13" s="405" t="s">
        <v>299</v>
      </c>
    </row>
    <row r="14" spans="1:12" s="392" customFormat="1" ht="15">
      <c r="A14" s="393">
        <v>1</v>
      </c>
      <c r="B14" s="439" t="s">
        <v>459</v>
      </c>
      <c r="C14" s="393" t="s">
        <v>460</v>
      </c>
      <c r="D14" s="393">
        <v>2010</v>
      </c>
      <c r="E14" s="589" t="s">
        <v>457</v>
      </c>
      <c r="F14" s="393" t="s">
        <v>449</v>
      </c>
      <c r="G14" s="393" t="s">
        <v>549</v>
      </c>
      <c r="H14" s="393" t="s">
        <v>461</v>
      </c>
      <c r="I14" s="593">
        <v>33.5</v>
      </c>
      <c r="J14" s="591">
        <v>100</v>
      </c>
      <c r="K14" s="404">
        <f t="shared" si="0"/>
        <v>33.5</v>
      </c>
      <c r="L14" s="405" t="s">
        <v>299</v>
      </c>
    </row>
    <row r="15" spans="1:12" s="392" customFormat="1" ht="15">
      <c r="A15" s="393">
        <v>1</v>
      </c>
      <c r="B15" s="439" t="s">
        <v>462</v>
      </c>
      <c r="C15" s="393" t="s">
        <v>456</v>
      </c>
      <c r="D15" s="393">
        <v>2007</v>
      </c>
      <c r="E15" s="589" t="s">
        <v>457</v>
      </c>
      <c r="F15" s="393" t="s">
        <v>449</v>
      </c>
      <c r="G15" s="393" t="s">
        <v>549</v>
      </c>
      <c r="H15" s="393" t="s">
        <v>458</v>
      </c>
      <c r="I15" s="593">
        <v>6</v>
      </c>
      <c r="J15" s="591">
        <v>100</v>
      </c>
      <c r="K15" s="404">
        <f t="shared" si="0"/>
        <v>6</v>
      </c>
      <c r="L15" s="405" t="s">
        <v>299</v>
      </c>
    </row>
    <row r="16" spans="1:12" s="392" customFormat="1" ht="15">
      <c r="A16" s="393">
        <v>1</v>
      </c>
      <c r="B16" s="439" t="s">
        <v>463</v>
      </c>
      <c r="C16" s="393" t="s">
        <v>456</v>
      </c>
      <c r="D16" s="393">
        <v>2008</v>
      </c>
      <c r="E16" s="589" t="s">
        <v>457</v>
      </c>
      <c r="F16" s="393" t="s">
        <v>449</v>
      </c>
      <c r="G16" s="393" t="s">
        <v>549</v>
      </c>
      <c r="H16" s="393" t="s">
        <v>458</v>
      </c>
      <c r="I16" s="593">
        <v>13</v>
      </c>
      <c r="J16" s="591">
        <v>100</v>
      </c>
      <c r="K16" s="404">
        <f t="shared" si="0"/>
        <v>13</v>
      </c>
      <c r="L16" s="405" t="s">
        <v>299</v>
      </c>
    </row>
    <row r="17" spans="1:12" s="392" customFormat="1" ht="15">
      <c r="A17" s="393">
        <v>1</v>
      </c>
      <c r="B17" s="439" t="s">
        <v>464</v>
      </c>
      <c r="C17" s="393" t="s">
        <v>456</v>
      </c>
      <c r="D17" s="393">
        <v>1959</v>
      </c>
      <c r="E17" s="589" t="s">
        <v>457</v>
      </c>
      <c r="F17" s="393" t="s">
        <v>449</v>
      </c>
      <c r="G17" s="393" t="s">
        <v>549</v>
      </c>
      <c r="H17" s="393" t="s">
        <v>458</v>
      </c>
      <c r="I17" s="593">
        <v>3</v>
      </c>
      <c r="J17" s="591">
        <v>100</v>
      </c>
      <c r="K17" s="404">
        <f t="shared" si="0"/>
        <v>3</v>
      </c>
      <c r="L17" s="405" t="s">
        <v>299</v>
      </c>
    </row>
    <row r="18" spans="1:12" s="392" customFormat="1" ht="15">
      <c r="A18" s="393">
        <v>1</v>
      </c>
      <c r="B18" s="439" t="s">
        <v>465</v>
      </c>
      <c r="C18" s="393" t="s">
        <v>460</v>
      </c>
      <c r="D18" s="393">
        <v>2010</v>
      </c>
      <c r="E18" s="589" t="s">
        <v>457</v>
      </c>
      <c r="F18" s="393" t="s">
        <v>449</v>
      </c>
      <c r="G18" s="393" t="s">
        <v>549</v>
      </c>
      <c r="H18" s="393" t="s">
        <v>461</v>
      </c>
      <c r="I18" s="593">
        <v>5</v>
      </c>
      <c r="J18" s="591">
        <v>100</v>
      </c>
      <c r="K18" s="404">
        <f t="shared" si="0"/>
        <v>5</v>
      </c>
      <c r="L18" s="405" t="s">
        <v>299</v>
      </c>
    </row>
    <row r="19" spans="1:12" s="392" customFormat="1" ht="15">
      <c r="A19" s="393">
        <v>1</v>
      </c>
      <c r="B19" s="439" t="s">
        <v>466</v>
      </c>
      <c r="C19" s="393" t="s">
        <v>460</v>
      </c>
      <c r="D19" s="393">
        <v>2011</v>
      </c>
      <c r="E19" s="589" t="s">
        <v>457</v>
      </c>
      <c r="F19" s="393" t="s">
        <v>449</v>
      </c>
      <c r="G19" s="393" t="s">
        <v>549</v>
      </c>
      <c r="H19" s="393" t="s">
        <v>461</v>
      </c>
      <c r="I19" s="593">
        <v>5.12</v>
      </c>
      <c r="J19" s="591">
        <v>100</v>
      </c>
      <c r="K19" s="404">
        <f t="shared" si="0"/>
        <v>5.12</v>
      </c>
      <c r="L19" s="405" t="s">
        <v>299</v>
      </c>
    </row>
    <row r="20" spans="1:12" s="392" customFormat="1" ht="15">
      <c r="A20" s="393">
        <v>1</v>
      </c>
      <c r="B20" s="439" t="s">
        <v>467</v>
      </c>
      <c r="C20" s="393" t="s">
        <v>460</v>
      </c>
      <c r="D20" s="393">
        <v>2012</v>
      </c>
      <c r="E20" s="589" t="s">
        <v>457</v>
      </c>
      <c r="F20" s="393" t="s">
        <v>449</v>
      </c>
      <c r="G20" s="393" t="s">
        <v>549</v>
      </c>
      <c r="H20" s="393" t="s">
        <v>458</v>
      </c>
      <c r="I20" s="593">
        <v>1.7</v>
      </c>
      <c r="J20" s="591">
        <v>100</v>
      </c>
      <c r="K20" s="404">
        <f t="shared" si="0"/>
        <v>1.7</v>
      </c>
      <c r="L20" s="405" t="s">
        <v>299</v>
      </c>
    </row>
    <row r="21" spans="1:12" s="392" customFormat="1" ht="60">
      <c r="A21" s="393">
        <v>1</v>
      </c>
      <c r="B21" s="439" t="s">
        <v>468</v>
      </c>
      <c r="C21" s="393" t="s">
        <v>469</v>
      </c>
      <c r="D21" s="393">
        <v>1999</v>
      </c>
      <c r="E21" s="589" t="s">
        <v>457</v>
      </c>
      <c r="F21" s="395" t="s">
        <v>470</v>
      </c>
      <c r="G21" s="393" t="s">
        <v>600</v>
      </c>
      <c r="H21" s="393" t="s">
        <v>471</v>
      </c>
      <c r="I21" s="593">
        <v>7</v>
      </c>
      <c r="J21" s="591">
        <v>100</v>
      </c>
      <c r="K21" s="404">
        <f t="shared" si="0"/>
        <v>7</v>
      </c>
      <c r="L21" s="405" t="s">
        <v>299</v>
      </c>
    </row>
    <row r="22" spans="1:12" s="392" customFormat="1" ht="15">
      <c r="A22" s="393">
        <v>1</v>
      </c>
      <c r="B22" s="439" t="s">
        <v>473</v>
      </c>
      <c r="C22" s="393" t="s">
        <v>474</v>
      </c>
      <c r="D22" s="393">
        <v>2008</v>
      </c>
      <c r="E22" s="589" t="s">
        <v>457</v>
      </c>
      <c r="F22" s="393" t="s">
        <v>472</v>
      </c>
      <c r="G22" s="393" t="s">
        <v>549</v>
      </c>
      <c r="H22" s="393" t="s">
        <v>458</v>
      </c>
      <c r="I22" s="593">
        <v>36</v>
      </c>
      <c r="J22" s="591">
        <v>100</v>
      </c>
      <c r="K22" s="404">
        <v>36</v>
      </c>
      <c r="L22" s="405" t="s">
        <v>299</v>
      </c>
    </row>
    <row r="23" spans="1:12" s="392" customFormat="1" ht="15">
      <c r="A23" s="393">
        <v>1</v>
      </c>
      <c r="B23" s="439" t="s">
        <v>475</v>
      </c>
      <c r="C23" s="393" t="s">
        <v>460</v>
      </c>
      <c r="D23" s="393">
        <v>2010</v>
      </c>
      <c r="E23" s="589" t="s">
        <v>457</v>
      </c>
      <c r="F23" s="393" t="s">
        <v>472</v>
      </c>
      <c r="G23" s="393" t="s">
        <v>549</v>
      </c>
      <c r="H23" s="393" t="s">
        <v>458</v>
      </c>
      <c r="I23" s="593">
        <v>30</v>
      </c>
      <c r="J23" s="591">
        <v>100</v>
      </c>
      <c r="K23" s="404">
        <v>30</v>
      </c>
      <c r="L23" s="405" t="s">
        <v>299</v>
      </c>
    </row>
    <row r="24" spans="1:12" s="392" customFormat="1" ht="15">
      <c r="A24" s="393">
        <v>1</v>
      </c>
      <c r="B24" s="439" t="s">
        <v>476</v>
      </c>
      <c r="C24" s="393" t="s">
        <v>474</v>
      </c>
      <c r="D24" s="393">
        <v>2014</v>
      </c>
      <c r="E24" s="589" t="s">
        <v>457</v>
      </c>
      <c r="F24" s="393" t="s">
        <v>472</v>
      </c>
      <c r="G24" s="393" t="s">
        <v>549</v>
      </c>
      <c r="H24" s="393" t="s">
        <v>458</v>
      </c>
      <c r="I24" s="593">
        <v>12.5</v>
      </c>
      <c r="J24" s="591">
        <v>100</v>
      </c>
      <c r="K24" s="404">
        <v>12.5</v>
      </c>
      <c r="L24" s="405" t="s">
        <v>299</v>
      </c>
    </row>
    <row r="25" spans="1:12" s="392" customFormat="1" ht="15">
      <c r="A25" s="393">
        <v>1</v>
      </c>
      <c r="B25" s="439" t="s">
        <v>477</v>
      </c>
      <c r="C25" s="393" t="s">
        <v>456</v>
      </c>
      <c r="D25" s="393">
        <v>2000</v>
      </c>
      <c r="E25" s="589" t="s">
        <v>457</v>
      </c>
      <c r="F25" s="393" t="s">
        <v>472</v>
      </c>
      <c r="G25" s="393" t="s">
        <v>549</v>
      </c>
      <c r="H25" s="393" t="s">
        <v>458</v>
      </c>
      <c r="I25" s="593">
        <v>10</v>
      </c>
      <c r="J25" s="591">
        <v>100</v>
      </c>
      <c r="K25" s="404">
        <v>10</v>
      </c>
      <c r="L25" s="405" t="s">
        <v>299</v>
      </c>
    </row>
    <row r="26" spans="1:12" s="392" customFormat="1" ht="15">
      <c r="A26" s="393">
        <v>1</v>
      </c>
      <c r="B26" s="439" t="s">
        <v>598</v>
      </c>
      <c r="C26" s="393" t="s">
        <v>599</v>
      </c>
      <c r="D26" s="393">
        <v>2017</v>
      </c>
      <c r="E26" s="589" t="s">
        <v>457</v>
      </c>
      <c r="F26" s="393" t="s">
        <v>472</v>
      </c>
      <c r="G26" s="393" t="s">
        <v>549</v>
      </c>
      <c r="H26" s="393" t="s">
        <v>458</v>
      </c>
      <c r="I26" s="593">
        <v>4.6</v>
      </c>
      <c r="J26" s="591">
        <v>100</v>
      </c>
      <c r="K26" s="404">
        <f>+I26*J26/100</f>
        <v>4.6</v>
      </c>
      <c r="L26" s="732" t="s">
        <v>299</v>
      </c>
    </row>
    <row r="27" spans="1:12" s="392" customFormat="1" ht="15.75" thickBot="1">
      <c r="A27" s="393"/>
      <c r="B27" s="594"/>
      <c r="C27" s="595"/>
      <c r="D27" s="595"/>
      <c r="E27" s="596"/>
      <c r="F27" s="595"/>
      <c r="G27" s="595"/>
      <c r="H27" s="595"/>
      <c r="I27" s="597"/>
      <c r="J27" s="598"/>
      <c r="K27" s="599"/>
      <c r="L27" s="405"/>
    </row>
    <row r="28" spans="1:12" s="392" customFormat="1" ht="22.5" thickBot="1" thickTop="1">
      <c r="A28" s="539">
        <f>+SUM(A10:A26)</f>
        <v>17</v>
      </c>
      <c r="B28" s="600" t="s">
        <v>550</v>
      </c>
      <c r="C28" s="601"/>
      <c r="D28" s="601"/>
      <c r="E28" s="602"/>
      <c r="F28" s="601"/>
      <c r="G28" s="601"/>
      <c r="H28" s="601"/>
      <c r="I28" s="603">
        <f>+SUM(I10:I26)</f>
        <v>178.815</v>
      </c>
      <c r="J28" s="604"/>
      <c r="K28" s="605">
        <f>+SUM(K10:K26)</f>
        <v>178.815</v>
      </c>
      <c r="L28" s="433"/>
    </row>
    <row r="29" ht="13.5" thickTop="1"/>
    <row r="30" ht="13.5" thickBot="1"/>
    <row r="31" spans="1:12" ht="75.75" thickBot="1">
      <c r="A31" s="521" t="s">
        <v>354</v>
      </c>
      <c r="B31" s="690" t="s">
        <v>4</v>
      </c>
      <c r="C31" s="692" t="s">
        <v>43</v>
      </c>
      <c r="D31" s="692" t="s">
        <v>5</v>
      </c>
      <c r="E31" s="692" t="s">
        <v>44</v>
      </c>
      <c r="F31" s="692" t="s">
        <v>19</v>
      </c>
      <c r="G31" s="692"/>
      <c r="H31" s="692" t="s">
        <v>20</v>
      </c>
      <c r="I31" s="692" t="s">
        <v>295</v>
      </c>
      <c r="J31" s="671" t="s">
        <v>303</v>
      </c>
      <c r="K31" s="691" t="s">
        <v>297</v>
      </c>
      <c r="L31" s="666" t="s">
        <v>298</v>
      </c>
    </row>
    <row r="32" spans="1:12" ht="15.75" thickBot="1">
      <c r="A32" s="455"/>
      <c r="B32" s="450"/>
      <c r="C32" s="450"/>
      <c r="D32" s="455"/>
      <c r="E32" s="450"/>
      <c r="F32" s="450"/>
      <c r="G32" s="450"/>
      <c r="H32" s="450"/>
      <c r="I32" s="455"/>
      <c r="J32" s="606"/>
      <c r="K32" s="553"/>
      <c r="L32" s="607"/>
    </row>
    <row r="33" spans="1:12" ht="22.5" thickBot="1" thickTop="1">
      <c r="A33" s="539">
        <v>1</v>
      </c>
      <c r="B33" s="297" t="s">
        <v>478</v>
      </c>
      <c r="C33" s="459" t="s">
        <v>479</v>
      </c>
      <c r="D33" s="459">
        <v>1948</v>
      </c>
      <c r="E33" s="458" t="s">
        <v>457</v>
      </c>
      <c r="F33" s="608" t="s">
        <v>480</v>
      </c>
      <c r="G33" s="458"/>
      <c r="H33" s="458" t="s">
        <v>481</v>
      </c>
      <c r="I33" s="609">
        <v>1.5</v>
      </c>
      <c r="J33" s="610">
        <v>100</v>
      </c>
      <c r="K33" s="611">
        <f>+I33</f>
        <v>1.5</v>
      </c>
      <c r="L33" s="612" t="s">
        <v>305</v>
      </c>
    </row>
    <row r="34" spans="1:12" ht="15.75" thickTop="1">
      <c r="A34" s="455"/>
      <c r="B34" s="481"/>
      <c r="C34" s="482"/>
      <c r="D34" s="482"/>
      <c r="E34" s="483"/>
      <c r="F34" s="482"/>
      <c r="G34" s="482"/>
      <c r="H34" s="482"/>
      <c r="I34" s="484"/>
      <c r="J34" s="485"/>
      <c r="K34" s="486"/>
      <c r="L34" s="413"/>
    </row>
    <row r="35" spans="1:12" ht="15.75" thickBot="1">
      <c r="A35" s="455"/>
      <c r="B35" s="613" t="s">
        <v>41</v>
      </c>
      <c r="C35" s="614"/>
      <c r="D35" s="615"/>
      <c r="E35" s="614"/>
      <c r="F35" s="614"/>
      <c r="G35" s="616"/>
      <c r="H35" s="614"/>
      <c r="I35" s="617">
        <f>SUM(I33:I34)</f>
        <v>1.5</v>
      </c>
      <c r="J35" s="615"/>
      <c r="K35" s="618">
        <f>SUM(K33:K34)</f>
        <v>1.5</v>
      </c>
      <c r="L35" s="433"/>
    </row>
    <row r="36" ht="15">
      <c r="A36" s="455"/>
    </row>
    <row r="38" ht="15">
      <c r="B38" s="581" t="s">
        <v>482</v>
      </c>
    </row>
    <row r="39" spans="2:12" ht="13.5" thickBot="1">
      <c r="B39" s="616"/>
      <c r="C39" s="616"/>
      <c r="D39" s="616"/>
      <c r="E39" s="616"/>
      <c r="F39" s="616"/>
      <c r="G39" s="616"/>
      <c r="H39" s="616"/>
      <c r="I39" s="616"/>
      <c r="J39" s="616"/>
      <c r="K39" s="616"/>
      <c r="L39" s="616"/>
    </row>
    <row r="40" spans="1:12" s="450" customFormat="1" ht="60.75" thickBot="1">
      <c r="A40" s="521" t="s">
        <v>354</v>
      </c>
      <c r="B40" s="724" t="s">
        <v>4</v>
      </c>
      <c r="C40" s="679" t="s">
        <v>43</v>
      </c>
      <c r="D40" s="679" t="s">
        <v>5</v>
      </c>
      <c r="E40" s="679" t="s">
        <v>44</v>
      </c>
      <c r="F40" s="679" t="s">
        <v>19</v>
      </c>
      <c r="G40" s="692" t="s">
        <v>45</v>
      </c>
      <c r="H40" s="692" t="s">
        <v>46</v>
      </c>
      <c r="I40" s="692" t="s">
        <v>348</v>
      </c>
      <c r="J40" s="671" t="s">
        <v>303</v>
      </c>
      <c r="K40" s="692" t="s">
        <v>349</v>
      </c>
      <c r="L40" s="666" t="s">
        <v>298</v>
      </c>
    </row>
    <row r="41" spans="1:12" s="450" customFormat="1" ht="15.75" thickBot="1">
      <c r="A41" s="455"/>
      <c r="B41" s="452"/>
      <c r="C41" s="521"/>
      <c r="D41" s="521"/>
      <c r="E41" s="452"/>
      <c r="F41" s="521"/>
      <c r="I41" s="521"/>
      <c r="J41" s="583"/>
      <c r="K41" s="523"/>
      <c r="L41" s="523"/>
    </row>
    <row r="42" spans="1:12" s="450" customFormat="1" ht="15.75" thickBot="1">
      <c r="A42" s="455"/>
      <c r="B42" s="526" t="s">
        <v>483</v>
      </c>
      <c r="C42" s="619"/>
      <c r="D42" s="620"/>
      <c r="E42" s="619"/>
      <c r="F42" s="619"/>
      <c r="G42" s="619"/>
      <c r="H42" s="619"/>
      <c r="I42" s="621"/>
      <c r="J42" s="622"/>
      <c r="K42" s="557"/>
      <c r="L42" s="558"/>
    </row>
    <row r="43" spans="1:12" s="450" customFormat="1" ht="15">
      <c r="A43" s="455"/>
      <c r="B43" s="480"/>
      <c r="D43" s="455"/>
      <c r="I43" s="623"/>
      <c r="J43" s="551"/>
      <c r="K43" s="561"/>
      <c r="L43" s="562"/>
    </row>
    <row r="44" spans="1:12" s="450" customFormat="1" ht="15">
      <c r="A44" s="455">
        <v>1</v>
      </c>
      <c r="B44" s="480" t="s">
        <v>240</v>
      </c>
      <c r="C44" s="450" t="s">
        <v>484</v>
      </c>
      <c r="D44" s="624">
        <v>40645</v>
      </c>
      <c r="E44" s="589" t="s">
        <v>260</v>
      </c>
      <c r="F44" s="625"/>
      <c r="I44" s="626">
        <v>0.8648</v>
      </c>
      <c r="J44" s="627">
        <v>100</v>
      </c>
      <c r="K44" s="628">
        <f>+I44*J44/100</f>
        <v>0.8648</v>
      </c>
      <c r="L44" s="565" t="s">
        <v>305</v>
      </c>
    </row>
    <row r="45" spans="1:12" s="450" customFormat="1" ht="15">
      <c r="A45" s="455">
        <v>1</v>
      </c>
      <c r="B45" s="480" t="s">
        <v>241</v>
      </c>
      <c r="C45" s="450" t="s">
        <v>485</v>
      </c>
      <c r="D45" s="624">
        <v>40663</v>
      </c>
      <c r="E45" s="589" t="s">
        <v>260</v>
      </c>
      <c r="F45" s="625"/>
      <c r="I45" s="626">
        <v>0.9688</v>
      </c>
      <c r="J45" s="627">
        <v>100</v>
      </c>
      <c r="K45" s="628">
        <f>+I45*J45/100</f>
        <v>0.9688</v>
      </c>
      <c r="L45" s="565" t="s">
        <v>305</v>
      </c>
    </row>
    <row r="46" spans="1:12" s="450" customFormat="1" ht="15">
      <c r="A46" s="455">
        <v>1</v>
      </c>
      <c r="B46" s="480" t="s">
        <v>242</v>
      </c>
      <c r="C46" s="450" t="s">
        <v>486</v>
      </c>
      <c r="D46" s="624">
        <v>40659</v>
      </c>
      <c r="E46" s="589" t="s">
        <v>260</v>
      </c>
      <c r="F46" s="625"/>
      <c r="I46" s="626">
        <v>1.35465</v>
      </c>
      <c r="J46" s="627">
        <v>100</v>
      </c>
      <c r="K46" s="628">
        <f>+I46*J46/100</f>
        <v>1.3546500000000001</v>
      </c>
      <c r="L46" s="565" t="s">
        <v>305</v>
      </c>
    </row>
    <row r="47" spans="1:12" s="450" customFormat="1" ht="15.75" thickBot="1">
      <c r="A47" s="455"/>
      <c r="B47" s="480"/>
      <c r="D47" s="455"/>
      <c r="E47" s="589"/>
      <c r="F47" s="625"/>
      <c r="I47" s="629"/>
      <c r="J47" s="630"/>
      <c r="K47" s="561"/>
      <c r="L47" s="569"/>
    </row>
    <row r="48" spans="1:12" s="450" customFormat="1" ht="22.5" thickBot="1" thickTop="1">
      <c r="A48" s="539">
        <f>+SUM(A44:A46)</f>
        <v>3</v>
      </c>
      <c r="B48" s="570" t="s">
        <v>487</v>
      </c>
      <c r="C48" s="571"/>
      <c r="D48" s="631"/>
      <c r="E48" s="571"/>
      <c r="F48" s="571"/>
      <c r="G48" s="632"/>
      <c r="H48" s="632"/>
      <c r="I48" s="572">
        <f>SUM(I44:I46)</f>
        <v>3.18825</v>
      </c>
      <c r="J48" s="571"/>
      <c r="K48" s="633">
        <f>SUM(K44:K46)</f>
        <v>3.18825</v>
      </c>
      <c r="L48" s="574"/>
    </row>
    <row r="49" ht="13.5" thickTop="1"/>
    <row r="51" ht="15.75">
      <c r="A51" s="580" t="s">
        <v>551</v>
      </c>
    </row>
    <row r="52" ht="13.5" thickBot="1"/>
    <row r="53" spans="2:12" ht="75.75" thickBot="1">
      <c r="B53" s="669" t="s">
        <v>552</v>
      </c>
      <c r="C53" s="670" t="s">
        <v>43</v>
      </c>
      <c r="D53" s="670" t="s">
        <v>5</v>
      </c>
      <c r="E53" s="670" t="s">
        <v>44</v>
      </c>
      <c r="F53" s="670" t="s">
        <v>19</v>
      </c>
      <c r="G53" s="670" t="s">
        <v>45</v>
      </c>
      <c r="H53" s="670" t="s">
        <v>46</v>
      </c>
      <c r="I53" s="670" t="s">
        <v>295</v>
      </c>
      <c r="J53" s="671" t="s">
        <v>296</v>
      </c>
      <c r="K53" s="672" t="s">
        <v>297</v>
      </c>
      <c r="L53" s="672" t="s">
        <v>298</v>
      </c>
    </row>
    <row r="54" spans="2:12" ht="15">
      <c r="B54" s="634"/>
      <c r="I54" s="626"/>
      <c r="J54" s="627"/>
      <c r="K54" s="561"/>
      <c r="L54" s="635"/>
    </row>
    <row r="55" spans="2:12" ht="15">
      <c r="B55" s="634">
        <v>1</v>
      </c>
      <c r="C55" s="167" t="s">
        <v>553</v>
      </c>
      <c r="E55" s="167" t="s">
        <v>457</v>
      </c>
      <c r="F55" s="167" t="s">
        <v>554</v>
      </c>
      <c r="G55" s="167" t="s">
        <v>113</v>
      </c>
      <c r="H55" s="167" t="s">
        <v>458</v>
      </c>
      <c r="I55" s="626">
        <v>12</v>
      </c>
      <c r="J55" s="627">
        <v>100</v>
      </c>
      <c r="K55" s="636">
        <f>+I55*J55/100</f>
        <v>12</v>
      </c>
      <c r="L55" s="565" t="s">
        <v>305</v>
      </c>
    </row>
    <row r="56" spans="2:12" ht="15">
      <c r="B56" s="634"/>
      <c r="K56" s="636"/>
      <c r="L56" s="638"/>
    </row>
    <row r="57" spans="2:12" ht="15">
      <c r="B57" s="634">
        <v>4</v>
      </c>
      <c r="C57" s="167" t="s">
        <v>602</v>
      </c>
      <c r="D57" s="167" t="s">
        <v>606</v>
      </c>
      <c r="E57" s="167" t="s">
        <v>457</v>
      </c>
      <c r="F57" s="167" t="s">
        <v>554</v>
      </c>
      <c r="G57" s="167" t="s">
        <v>549</v>
      </c>
      <c r="H57" s="167" t="s">
        <v>458</v>
      </c>
      <c r="I57" s="626">
        <v>13.8</v>
      </c>
      <c r="J57" s="627">
        <v>100</v>
      </c>
      <c r="K57" s="636">
        <f>+I57*J57/100</f>
        <v>13.8</v>
      </c>
      <c r="L57" s="565" t="s">
        <v>305</v>
      </c>
    </row>
    <row r="58" spans="2:12" ht="15">
      <c r="B58" s="634">
        <v>1</v>
      </c>
      <c r="C58" s="167" t="s">
        <v>603</v>
      </c>
      <c r="D58" s="167">
        <v>2010</v>
      </c>
      <c r="E58" s="167" t="s">
        <v>457</v>
      </c>
      <c r="F58" s="167" t="s">
        <v>554</v>
      </c>
      <c r="G58" s="167" t="s">
        <v>555</v>
      </c>
      <c r="H58" s="167" t="s">
        <v>458</v>
      </c>
      <c r="I58" s="626">
        <v>3.4</v>
      </c>
      <c r="J58" s="627">
        <v>100</v>
      </c>
      <c r="K58" s="636">
        <f>+I58*J58/100</f>
        <v>3.4</v>
      </c>
      <c r="L58" s="565"/>
    </row>
    <row r="59" spans="2:12" ht="15">
      <c r="B59" s="634">
        <v>1</v>
      </c>
      <c r="C59" s="167" t="s">
        <v>604</v>
      </c>
      <c r="E59" s="167" t="s">
        <v>457</v>
      </c>
      <c r="F59" s="167" t="s">
        <v>554</v>
      </c>
      <c r="H59" s="167" t="s">
        <v>356</v>
      </c>
      <c r="I59" s="626">
        <v>0.1</v>
      </c>
      <c r="J59" s="627">
        <v>100</v>
      </c>
      <c r="K59" s="636">
        <f>+I59*J59/100</f>
        <v>0.1</v>
      </c>
      <c r="L59" s="565" t="s">
        <v>305</v>
      </c>
    </row>
    <row r="60" spans="2:12" ht="13.5" thickBot="1">
      <c r="B60" s="634"/>
      <c r="K60" s="637"/>
      <c r="L60" s="638"/>
    </row>
    <row r="61" spans="1:12" ht="22.5" thickBot="1" thickTop="1">
      <c r="A61" s="539">
        <f>+SUM(B55:B59)</f>
        <v>7</v>
      </c>
      <c r="B61" s="570" t="s">
        <v>556</v>
      </c>
      <c r="C61" s="571"/>
      <c r="D61" s="631"/>
      <c r="E61" s="571"/>
      <c r="F61" s="571"/>
      <c r="G61" s="632"/>
      <c r="H61" s="632"/>
      <c r="I61" s="639">
        <f>+SUM(I54:I60)</f>
        <v>29.3</v>
      </c>
      <c r="J61" s="571"/>
      <c r="K61" s="573">
        <f>+SUM(K54:K60)</f>
        <v>29.3</v>
      </c>
      <c r="L61" s="574"/>
    </row>
    <row r="62" ht="13.5" thickTop="1">
      <c r="B62" s="640"/>
    </row>
    <row r="64" ht="13.5" thickBot="1"/>
    <row r="65" spans="1:12" s="450" customFormat="1" ht="22.5" thickBot="1" thickTop="1">
      <c r="A65" s="539">
        <f>+A28+A33+A48+A61</f>
        <v>28</v>
      </c>
      <c r="B65" s="576" t="s">
        <v>557</v>
      </c>
      <c r="C65" s="540"/>
      <c r="D65" s="641"/>
      <c r="E65" s="540"/>
      <c r="F65" s="540"/>
      <c r="G65" s="541"/>
      <c r="H65" s="541"/>
      <c r="I65" s="542">
        <f>+I28+I35+I48+I61</f>
        <v>212.80325000000002</v>
      </c>
      <c r="J65" s="540"/>
      <c r="K65" s="642">
        <f>+K28+K35+K48+K61</f>
        <v>212.80325000000002</v>
      </c>
      <c r="L65" s="643"/>
    </row>
    <row r="66" ht="13.5" thickTop="1"/>
    <row r="69" ht="15.75">
      <c r="A69" s="580" t="s">
        <v>558</v>
      </c>
    </row>
    <row r="70" ht="13.5" thickBot="1"/>
    <row r="71" spans="2:8" ht="15">
      <c r="B71" s="676" t="s">
        <v>46</v>
      </c>
      <c r="C71" s="770" t="s">
        <v>457</v>
      </c>
      <c r="D71" s="771"/>
      <c r="E71" s="770" t="s">
        <v>559</v>
      </c>
      <c r="F71" s="771"/>
      <c r="G71" s="770" t="s">
        <v>357</v>
      </c>
      <c r="H71" s="771"/>
    </row>
    <row r="72" spans="2:8" ht="15.75" thickBot="1">
      <c r="B72" s="677"/>
      <c r="C72" s="677" t="s">
        <v>536</v>
      </c>
      <c r="D72" s="678" t="s">
        <v>354</v>
      </c>
      <c r="E72" s="677" t="s">
        <v>536</v>
      </c>
      <c r="F72" s="678" t="s">
        <v>354</v>
      </c>
      <c r="G72" s="677" t="s">
        <v>536</v>
      </c>
      <c r="H72" s="678" t="s">
        <v>354</v>
      </c>
    </row>
    <row r="73" spans="2:8" ht="15">
      <c r="B73" s="644" t="s">
        <v>114</v>
      </c>
      <c r="C73" s="645">
        <f>+C74+C75</f>
        <v>188.32</v>
      </c>
      <c r="D73" s="646">
        <f>+D74+D75</f>
        <v>19</v>
      </c>
      <c r="E73" s="647">
        <f>+E74+E75</f>
        <v>7.695</v>
      </c>
      <c r="F73" s="646">
        <f>+F74+F75</f>
        <v>3</v>
      </c>
      <c r="G73" s="647">
        <f>+C73+E73</f>
        <v>196.015</v>
      </c>
      <c r="H73" s="646">
        <f>+D73+F73</f>
        <v>22</v>
      </c>
    </row>
    <row r="74" spans="2:8" ht="15">
      <c r="B74" s="648" t="s">
        <v>560</v>
      </c>
      <c r="C74" s="649">
        <f>+SUM(K13:K26)</f>
        <v>171.12</v>
      </c>
      <c r="D74" s="161">
        <f>+SUM(A13:A26)</f>
        <v>14</v>
      </c>
      <c r="E74" s="650">
        <f>+SUM(K10:K12)</f>
        <v>7.695</v>
      </c>
      <c r="F74" s="161">
        <f>+SUM(A10:A12)</f>
        <v>3</v>
      </c>
      <c r="G74" s="650">
        <f>+C74+E74</f>
        <v>178.815</v>
      </c>
      <c r="H74" s="651">
        <f>+F74+D74</f>
        <v>17</v>
      </c>
    </row>
    <row r="75" spans="2:8" ht="15">
      <c r="B75" s="652" t="s">
        <v>561</v>
      </c>
      <c r="C75" s="649">
        <f>+SUM(K57:K58)</f>
        <v>17.2</v>
      </c>
      <c r="D75" s="161">
        <f>+SUM(B57:B58)</f>
        <v>5</v>
      </c>
      <c r="E75" s="653"/>
      <c r="F75" s="637"/>
      <c r="G75" s="650">
        <f>+C75+E75</f>
        <v>17.2</v>
      </c>
      <c r="H75" s="651">
        <f>+F75+D75</f>
        <v>5</v>
      </c>
    </row>
    <row r="76" spans="2:8" ht="15">
      <c r="B76" s="654" t="s">
        <v>562</v>
      </c>
      <c r="C76" s="645">
        <f>+K55</f>
        <v>12</v>
      </c>
      <c r="D76" s="640">
        <f>+B55</f>
        <v>1</v>
      </c>
      <c r="E76" s="647">
        <v>0</v>
      </c>
      <c r="F76" s="646"/>
      <c r="G76" s="647">
        <f aca="true" t="shared" si="1" ref="G76:H78">+C76+E76</f>
        <v>12</v>
      </c>
      <c r="H76" s="646">
        <f t="shared" si="1"/>
        <v>1</v>
      </c>
    </row>
    <row r="77" spans="2:8" ht="15">
      <c r="B77" s="654" t="s">
        <v>563</v>
      </c>
      <c r="C77" s="645">
        <f>+K33</f>
        <v>1.5</v>
      </c>
      <c r="D77" s="646">
        <f>+A33</f>
        <v>1</v>
      </c>
      <c r="E77" s="647">
        <v>0</v>
      </c>
      <c r="F77" s="646"/>
      <c r="G77" s="647">
        <f t="shared" si="1"/>
        <v>1.5</v>
      </c>
      <c r="H77" s="646">
        <f t="shared" si="1"/>
        <v>1</v>
      </c>
    </row>
    <row r="78" spans="2:8" ht="15">
      <c r="B78" s="654" t="s">
        <v>356</v>
      </c>
      <c r="C78" s="645">
        <f>+C79+C80</f>
        <v>0.1</v>
      </c>
      <c r="D78" s="646">
        <f>+D80+D79</f>
        <v>1</v>
      </c>
      <c r="E78" s="647">
        <f>+E79+E80</f>
        <v>3.18825</v>
      </c>
      <c r="F78" s="646">
        <f>+F79+F80</f>
        <v>3</v>
      </c>
      <c r="G78" s="647">
        <f t="shared" si="1"/>
        <v>3.28825</v>
      </c>
      <c r="H78" s="646">
        <f t="shared" si="1"/>
        <v>4</v>
      </c>
    </row>
    <row r="79" spans="2:8" ht="15">
      <c r="B79" s="648" t="s">
        <v>560</v>
      </c>
      <c r="C79" s="649"/>
      <c r="D79" s="651"/>
      <c r="E79" s="650">
        <f>+SUM(K44:K46)</f>
        <v>3.18825</v>
      </c>
      <c r="F79" s="651">
        <f>+SUM(A44:A46)</f>
        <v>3</v>
      </c>
      <c r="G79" s="650">
        <f>+C79+E79</f>
        <v>3.18825</v>
      </c>
      <c r="H79" s="651">
        <f>+F79+D79</f>
        <v>3</v>
      </c>
    </row>
    <row r="80" spans="2:8" ht="15.75" thickBot="1">
      <c r="B80" s="652" t="s">
        <v>561</v>
      </c>
      <c r="C80" s="655">
        <f>+K59</f>
        <v>0.1</v>
      </c>
      <c r="D80" s="651">
        <f>+B59</f>
        <v>1</v>
      </c>
      <c r="E80" s="653"/>
      <c r="F80" s="637"/>
      <c r="G80" s="650">
        <f>+C80</f>
        <v>0.1</v>
      </c>
      <c r="H80" s="651">
        <v>1</v>
      </c>
    </row>
    <row r="81" spans="2:8" ht="15.75" thickBot="1">
      <c r="B81" s="656" t="s">
        <v>357</v>
      </c>
      <c r="C81" s="657">
        <f aca="true" t="shared" si="2" ref="C81:H81">+C73+C76+C77+C78</f>
        <v>201.92</v>
      </c>
      <c r="D81" s="658">
        <f t="shared" si="2"/>
        <v>22</v>
      </c>
      <c r="E81" s="657">
        <f t="shared" si="2"/>
        <v>10.88325</v>
      </c>
      <c r="F81" s="658">
        <f t="shared" si="2"/>
        <v>6</v>
      </c>
      <c r="G81" s="657">
        <f t="shared" si="2"/>
        <v>212.80325</v>
      </c>
      <c r="H81" s="658">
        <f t="shared" si="2"/>
        <v>28</v>
      </c>
    </row>
  </sheetData>
  <sheetProtection/>
  <mergeCells count="3">
    <mergeCell ref="C71:D71"/>
    <mergeCell ref="E71:F71"/>
    <mergeCell ref="G71:H7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Minazzi Valeria</dc:creator>
  <cp:keywords/>
  <dc:description/>
  <cp:lastModifiedBy>De lorenzo, Domenico</cp:lastModifiedBy>
  <cp:lastPrinted>2017-04-05T07:59:15Z</cp:lastPrinted>
  <dcterms:created xsi:type="dcterms:W3CDTF">2004-07-07T10:48:07Z</dcterms:created>
  <dcterms:modified xsi:type="dcterms:W3CDTF">2018-02-28T10:24:28Z</dcterms:modified>
  <cp:category/>
  <cp:version/>
  <cp:contentType/>
  <cp:contentStatus/>
</cp:coreProperties>
</file>